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270" yWindow="-10" windowWidth="19160" windowHeight="11020" activeTab="5"/>
  </bookViews>
  <sheets>
    <sheet name="Read me" sheetId="1" r:id="rId1"/>
    <sheet name="Overview" sheetId="2" r:id="rId2"/>
    <sheet name="P&amp;L Summary" sheetId="3" r:id="rId3"/>
    <sheet name="Profit and Loss" sheetId="4" r:id="rId4"/>
    <sheet name="Lists" sheetId="7" state="hidden" r:id="rId5"/>
    <sheet name="Inputs from tech analysis" sheetId="9" r:id="rId6"/>
    <sheet name="Key data for RCEF report table" sheetId="10" r:id="rId7"/>
  </sheets>
  <externalReferences>
    <externalReference r:id="rId8"/>
  </externalReferences>
  <definedNames>
    <definedName name="_ftn1" localSheetId="5">'Inputs from tech analysis'!#REF!</definedName>
    <definedName name="_ftn2" localSheetId="5">'Inputs from tech analysis'!#REF!</definedName>
    <definedName name="_ftn3" localSheetId="5">'Inputs from tech analysis'!#REF!</definedName>
    <definedName name="_ftn4" localSheetId="5">'Inputs from tech analysis'!#REF!</definedName>
    <definedName name="_ftnref1" localSheetId="5">'Inputs from tech analysis'!#REF!</definedName>
    <definedName name="_ftnref2" localSheetId="5">'Inputs from tech analysis'!#REF!</definedName>
    <definedName name="_ftnref3" localSheetId="5">'Inputs from tech analysis'!$P$13</definedName>
    <definedName name="_ftnref4" localSheetId="5">'Inputs from tech analysis'!$P$14</definedName>
    <definedName name="Cash_beginning" localSheetId="0">#REF!</definedName>
    <definedName name="Cash_beginning">#REF!</definedName>
    <definedName name="Cash_minimum">#REF!</definedName>
    <definedName name="Company_name">#REF!</definedName>
    <definedName name="Index_Sheet_Kutools">#REF!</definedName>
    <definedName name="_xlnm.Print_Area" localSheetId="1">Overview!$A$1:$M$23</definedName>
    <definedName name="_xlnm.Print_Area" localSheetId="2">'P&amp;L Summary'!$A$1:$J$19</definedName>
    <definedName name="_xlnm.Print_Titles" localSheetId="3">'Profit and Loss'!$6:$6</definedName>
    <definedName name="Start_date">#REF!</definedName>
    <definedName name="temp">#REF!</definedName>
    <definedName name="temp1">#REF!</definedName>
    <definedName name="yesno">Lists!$A$2:$A$4</definedName>
  </definedNames>
  <calcPr calcId="145621"/>
  <fileRecoveryPr repairLoad="1"/>
</workbook>
</file>

<file path=xl/calcChain.xml><?xml version="1.0" encoding="utf-8"?>
<calcChain xmlns="http://schemas.openxmlformats.org/spreadsheetml/2006/main">
  <c r="D13" i="10" l="1"/>
  <c r="D14" i="10"/>
  <c r="D15" i="10"/>
  <c r="D16" i="10"/>
  <c r="D12" i="10"/>
  <c r="J118" i="4"/>
  <c r="H6" i="9" l="1"/>
  <c r="J6" i="9" s="1"/>
  <c r="J125" i="4"/>
  <c r="J15" i="4" s="1"/>
  <c r="J124" i="4"/>
  <c r="I15" i="9"/>
  <c r="H97" i="4" s="1"/>
  <c r="J115" i="4" s="1"/>
  <c r="E22" i="10"/>
  <c r="E5" i="10"/>
  <c r="E3" i="10"/>
  <c r="E2" i="10"/>
  <c r="H63" i="4"/>
  <c r="J111" i="4"/>
  <c r="H19" i="4" s="1"/>
  <c r="H38" i="4"/>
  <c r="G16" i="2"/>
  <c r="H133" i="4"/>
  <c r="H35" i="4"/>
  <c r="B16" i="3"/>
  <c r="H70" i="4"/>
  <c r="H32" i="4"/>
  <c r="K32" i="4" s="1"/>
  <c r="L32" i="4" s="1"/>
  <c r="M32" i="4" s="1"/>
  <c r="N32" i="4" s="1"/>
  <c r="O32" i="4" s="1"/>
  <c r="P32" i="4" s="1"/>
  <c r="Q32" i="4" s="1"/>
  <c r="R32" i="4" s="1"/>
  <c r="S32" i="4" s="1"/>
  <c r="T32" i="4" s="1"/>
  <c r="U32" i="4" s="1"/>
  <c r="V32" i="4" s="1"/>
  <c r="W32" i="4" s="1"/>
  <c r="X32" i="4" s="1"/>
  <c r="Y32" i="4" s="1"/>
  <c r="Z32" i="4" s="1"/>
  <c r="AA32" i="4" s="1"/>
  <c r="AB32" i="4" s="1"/>
  <c r="AC32" i="4" s="1"/>
  <c r="K7" i="9"/>
  <c r="K6" i="9"/>
  <c r="I114" i="4"/>
  <c r="M14" i="9"/>
  <c r="M13" i="9"/>
  <c r="L15" i="9"/>
  <c r="K15" i="9"/>
  <c r="J15" i="9"/>
  <c r="I8" i="9"/>
  <c r="G8" i="9"/>
  <c r="H127" i="4" s="1"/>
  <c r="J26" i="4" s="1"/>
  <c r="K26" i="4" s="1"/>
  <c r="L26" i="4" s="1"/>
  <c r="M26" i="4" s="1"/>
  <c r="N26" i="4" s="1"/>
  <c r="O26" i="4" s="1"/>
  <c r="P26" i="4" s="1"/>
  <c r="Q26" i="4" s="1"/>
  <c r="R26" i="4" s="1"/>
  <c r="S26" i="4" s="1"/>
  <c r="T26" i="4" s="1"/>
  <c r="U26" i="4" s="1"/>
  <c r="V26" i="4" s="1"/>
  <c r="W26" i="4" s="1"/>
  <c r="X26" i="4" s="1"/>
  <c r="Y26" i="4" s="1"/>
  <c r="Z26" i="4" s="1"/>
  <c r="AA26" i="4" s="1"/>
  <c r="AB26" i="4" s="1"/>
  <c r="AC26" i="4" s="1"/>
  <c r="H7" i="9"/>
  <c r="J7" i="9" s="1"/>
  <c r="L7" i="9" s="1"/>
  <c r="B12" i="3" l="1"/>
  <c r="E14" i="10"/>
  <c r="L6" i="9"/>
  <c r="J8" i="9"/>
  <c r="H128" i="4" s="1"/>
  <c r="K15" i="4"/>
  <c r="M15" i="9"/>
  <c r="J98" i="4" s="1"/>
  <c r="J116" i="4" s="1"/>
  <c r="K8" i="9"/>
  <c r="E4" i="10"/>
  <c r="H30" i="4"/>
  <c r="J30" i="4" s="1"/>
  <c r="J33" i="4" s="1"/>
  <c r="AD26" i="4"/>
  <c r="H8" i="9"/>
  <c r="L8" i="9"/>
  <c r="J27" i="4"/>
  <c r="K27" i="4" s="1"/>
  <c r="L27" i="4" s="1"/>
  <c r="M27" i="4" s="1"/>
  <c r="N27" i="4" s="1"/>
  <c r="O27" i="4" s="1"/>
  <c r="P27" i="4" s="1"/>
  <c r="Q27" i="4" s="1"/>
  <c r="R27" i="4" s="1"/>
  <c r="S27" i="4" s="1"/>
  <c r="T27" i="4" s="1"/>
  <c r="U27" i="4" s="1"/>
  <c r="V27" i="4" s="1"/>
  <c r="W27" i="4" s="1"/>
  <c r="X27" i="4" s="1"/>
  <c r="Y27" i="4" s="1"/>
  <c r="Z27" i="4" s="1"/>
  <c r="AA27" i="4" s="1"/>
  <c r="AB27" i="4" s="1"/>
  <c r="AC27" i="4" s="1"/>
  <c r="M7" i="9"/>
  <c r="N7" i="9" s="1"/>
  <c r="O7" i="9" s="1"/>
  <c r="M6" i="9"/>
  <c r="E18" i="10" l="1"/>
  <c r="J13" i="4"/>
  <c r="N6" i="9"/>
  <c r="M8" i="9"/>
  <c r="A19" i="3"/>
  <c r="A18" i="3"/>
  <c r="H16" i="4"/>
  <c r="J16" i="4" s="1"/>
  <c r="E15" i="10" s="1"/>
  <c r="H55" i="4"/>
  <c r="H51" i="4"/>
  <c r="B10" i="3" l="1"/>
  <c r="E12" i="10"/>
  <c r="B13" i="3"/>
  <c r="O6" i="9"/>
  <c r="O8" i="9" s="1"/>
  <c r="N8" i="9"/>
  <c r="H34" i="4"/>
  <c r="J34" i="4" s="1"/>
  <c r="AD172" i="4"/>
  <c r="AC172" i="4"/>
  <c r="AB172" i="4"/>
  <c r="AA172" i="4"/>
  <c r="Z172" i="4"/>
  <c r="Y172" i="4"/>
  <c r="X172" i="4"/>
  <c r="W172" i="4"/>
  <c r="V172" i="4"/>
  <c r="U172" i="4"/>
  <c r="T172" i="4"/>
  <c r="S172" i="4"/>
  <c r="R172" i="4"/>
  <c r="Q172" i="4"/>
  <c r="P172" i="4"/>
  <c r="O172" i="4"/>
  <c r="N172" i="4"/>
  <c r="M172" i="4"/>
  <c r="L172" i="4"/>
  <c r="K172" i="4"/>
  <c r="J119" i="4"/>
  <c r="J108" i="4"/>
  <c r="E9" i="10" s="1"/>
  <c r="J38" i="4"/>
  <c r="J39" i="4" s="1"/>
  <c r="I11" i="4"/>
  <c r="J6" i="4"/>
  <c r="K6" i="4" s="1"/>
  <c r="L6" i="4" s="1"/>
  <c r="M6" i="4" s="1"/>
  <c r="N6" i="4" s="1"/>
  <c r="O6" i="4" s="1"/>
  <c r="P6" i="4" s="1"/>
  <c r="Q6" i="4" s="1"/>
  <c r="R6" i="4" s="1"/>
  <c r="S6" i="4" s="1"/>
  <c r="T6" i="4" s="1"/>
  <c r="U6" i="4" s="1"/>
  <c r="V6" i="4" s="1"/>
  <c r="W6" i="4" s="1"/>
  <c r="X6" i="4" s="1"/>
  <c r="Y6" i="4" s="1"/>
  <c r="Z6" i="4" s="1"/>
  <c r="AA6" i="4" s="1"/>
  <c r="AB6" i="4" s="1"/>
  <c r="AC6" i="4" s="1"/>
  <c r="I6" i="4"/>
  <c r="R2" i="4"/>
  <c r="K9" i="3"/>
  <c r="F4" i="3"/>
  <c r="E4" i="3"/>
  <c r="D4" i="3"/>
  <c r="C4" i="3"/>
  <c r="B4" i="3"/>
  <c r="J9" i="4" l="1"/>
  <c r="K16" i="4"/>
  <c r="I172" i="4"/>
  <c r="H172" i="4" s="1"/>
  <c r="J35" i="4"/>
  <c r="J10" i="4" s="1"/>
  <c r="J101" i="4"/>
  <c r="J102" i="4" s="1"/>
  <c r="J103" i="4" s="1"/>
  <c r="J70" i="4"/>
  <c r="K38" i="4"/>
  <c r="K39" i="4" s="1"/>
  <c r="J117" i="4"/>
  <c r="J50" i="4" l="1"/>
  <c r="J51" i="4" s="1"/>
  <c r="E10" i="10"/>
  <c r="B6" i="3"/>
  <c r="E20" i="10"/>
  <c r="J72" i="4"/>
  <c r="E19" i="10"/>
  <c r="K35" i="4"/>
  <c r="C12" i="3"/>
  <c r="C13" i="3"/>
  <c r="K70" i="4"/>
  <c r="K71" i="4" s="1"/>
  <c r="J71" i="4"/>
  <c r="K34" i="4"/>
  <c r="J110" i="4"/>
  <c r="J120" i="4"/>
  <c r="H14" i="4" s="1"/>
  <c r="J14" i="4" s="1"/>
  <c r="L15" i="4"/>
  <c r="D12" i="3" s="1"/>
  <c r="L38" i="4"/>
  <c r="L16" i="4"/>
  <c r="D13" i="3" s="1"/>
  <c r="J17" i="4" l="1"/>
  <c r="B14" i="3" s="1"/>
  <c r="E13" i="10"/>
  <c r="J73" i="4"/>
  <c r="K30" i="4"/>
  <c r="K10" i="4"/>
  <c r="K72" i="4" s="1"/>
  <c r="K73" i="4" s="1"/>
  <c r="L34" i="4"/>
  <c r="H65" i="4"/>
  <c r="R63" i="4" s="1"/>
  <c r="K19" i="4"/>
  <c r="C16" i="3" s="1"/>
  <c r="K14" i="4"/>
  <c r="L35" i="4"/>
  <c r="L70" i="4"/>
  <c r="L71" i="4" s="1"/>
  <c r="M16" i="4"/>
  <c r="E13" i="3" s="1"/>
  <c r="K9" i="4"/>
  <c r="L39" i="4"/>
  <c r="M38" i="4"/>
  <c r="M15" i="4"/>
  <c r="E12" i="3" s="1"/>
  <c r="B11" i="3"/>
  <c r="K33" i="4" l="1"/>
  <c r="K13" i="4" s="1"/>
  <c r="L14" i="4"/>
  <c r="M14" i="4" s="1"/>
  <c r="L30" i="4"/>
  <c r="L10" i="4"/>
  <c r="L72" i="4" s="1"/>
  <c r="M34" i="4"/>
  <c r="C7" i="3"/>
  <c r="AA63" i="4"/>
  <c r="X63" i="4"/>
  <c r="Q63" i="4"/>
  <c r="P63" i="4"/>
  <c r="W63" i="4"/>
  <c r="Z63" i="4"/>
  <c r="Y63" i="4"/>
  <c r="O63" i="4"/>
  <c r="V63" i="4"/>
  <c r="U63" i="4"/>
  <c r="AB63" i="4"/>
  <c r="N63" i="4"/>
  <c r="T63" i="4"/>
  <c r="S63" i="4"/>
  <c r="C11" i="3"/>
  <c r="N15" i="4"/>
  <c r="F12" i="3" s="1"/>
  <c r="C6" i="3"/>
  <c r="M35" i="4"/>
  <c r="M70" i="4"/>
  <c r="M71" i="4" s="1"/>
  <c r="N38" i="4"/>
  <c r="M39" i="4"/>
  <c r="L9" i="4"/>
  <c r="D6" i="3" s="1"/>
  <c r="N16" i="4"/>
  <c r="F13" i="3" s="1"/>
  <c r="L73" i="4" l="1"/>
  <c r="D11" i="3"/>
  <c r="K17" i="4"/>
  <c r="C14" i="3" s="1"/>
  <c r="C10" i="3"/>
  <c r="L33" i="4"/>
  <c r="L13" i="4" s="1"/>
  <c r="M30" i="4"/>
  <c r="O16" i="4"/>
  <c r="M10" i="4"/>
  <c r="M72" i="4" s="1"/>
  <c r="M73" i="4" s="1"/>
  <c r="N34" i="4"/>
  <c r="K11" i="4"/>
  <c r="AC63" i="4"/>
  <c r="AD63" i="4" s="1"/>
  <c r="N39" i="4"/>
  <c r="O38" i="4"/>
  <c r="O15" i="4"/>
  <c r="N70" i="4"/>
  <c r="N71" i="4" s="1"/>
  <c r="N35" i="4"/>
  <c r="C8" i="3"/>
  <c r="M9" i="4"/>
  <c r="E6" i="3" s="1"/>
  <c r="N14" i="4"/>
  <c r="E11" i="3"/>
  <c r="K18" i="4" l="1"/>
  <c r="C15" i="3" s="1"/>
  <c r="D10" i="3"/>
  <c r="L17" i="4"/>
  <c r="D14" i="3" s="1"/>
  <c r="M33" i="4"/>
  <c r="M13" i="4" s="1"/>
  <c r="N30" i="4"/>
  <c r="N10" i="4"/>
  <c r="N72" i="4" s="1"/>
  <c r="N73" i="4" s="1"/>
  <c r="O34" i="4"/>
  <c r="B7" i="3"/>
  <c r="B8" i="3" s="1"/>
  <c r="J11" i="4"/>
  <c r="J18" i="4" s="1"/>
  <c r="P16" i="4"/>
  <c r="O14" i="4"/>
  <c r="F11" i="3"/>
  <c r="O70" i="4"/>
  <c r="O71" i="4" s="1"/>
  <c r="N9" i="4"/>
  <c r="F6" i="3" s="1"/>
  <c r="O35" i="4"/>
  <c r="E7" i="3"/>
  <c r="E8" i="3" s="1"/>
  <c r="P15" i="4"/>
  <c r="Q15" i="4" s="1"/>
  <c r="R15" i="4" s="1"/>
  <c r="S15" i="4" s="1"/>
  <c r="O39" i="4"/>
  <c r="P38" i="4"/>
  <c r="T15" i="4" l="1"/>
  <c r="K20" i="4"/>
  <c r="K44" i="4" s="1"/>
  <c r="E10" i="3"/>
  <c r="M17" i="4"/>
  <c r="E14" i="3" s="1"/>
  <c r="N33" i="4"/>
  <c r="N13" i="4" s="1"/>
  <c r="G12" i="3"/>
  <c r="J20" i="4"/>
  <c r="B17" i="3" s="1"/>
  <c r="B15" i="3"/>
  <c r="O30" i="4"/>
  <c r="O10" i="4"/>
  <c r="O72" i="4" s="1"/>
  <c r="P34" i="4"/>
  <c r="F7" i="3"/>
  <c r="F8" i="3" s="1"/>
  <c r="P14" i="4"/>
  <c r="O9" i="4"/>
  <c r="M11" i="4"/>
  <c r="P35" i="4"/>
  <c r="P70" i="4"/>
  <c r="P71" i="4" s="1"/>
  <c r="P39" i="4"/>
  <c r="Q38" i="4"/>
  <c r="D7" i="3"/>
  <c r="L11" i="4"/>
  <c r="Q16" i="4"/>
  <c r="U15" i="4" l="1"/>
  <c r="O73" i="4"/>
  <c r="C17" i="3"/>
  <c r="J44" i="4"/>
  <c r="J46" i="4" s="1"/>
  <c r="M18" i="4"/>
  <c r="E15" i="3" s="1"/>
  <c r="N17" i="4"/>
  <c r="F14" i="3" s="1"/>
  <c r="F10" i="3"/>
  <c r="O33" i="4"/>
  <c r="O13" i="4" s="1"/>
  <c r="O17" i="4" s="1"/>
  <c r="P30" i="4"/>
  <c r="P10" i="4"/>
  <c r="P72" i="4" s="1"/>
  <c r="P73" i="4" s="1"/>
  <c r="Q34" i="4"/>
  <c r="N11" i="4"/>
  <c r="L18" i="4"/>
  <c r="R38" i="4"/>
  <c r="Q39" i="4"/>
  <c r="Q35" i="4"/>
  <c r="P9" i="4"/>
  <c r="Q14" i="4"/>
  <c r="R16" i="4"/>
  <c r="D8" i="3"/>
  <c r="Q70" i="4"/>
  <c r="Q71" i="4" s="1"/>
  <c r="H12" i="3" l="1"/>
  <c r="V15" i="4"/>
  <c r="W15" i="4" s="1"/>
  <c r="X15" i="4" s="1"/>
  <c r="Y15" i="4" s="1"/>
  <c r="J47" i="4"/>
  <c r="J45" i="4"/>
  <c r="J52" i="4" s="1"/>
  <c r="J54" i="4" s="1"/>
  <c r="N18" i="4"/>
  <c r="F15" i="3" s="1"/>
  <c r="P33" i="4"/>
  <c r="P13" i="4" s="1"/>
  <c r="P17" i="4" s="1"/>
  <c r="D15" i="3"/>
  <c r="Q30" i="4"/>
  <c r="Q10" i="4"/>
  <c r="Q72" i="4" s="1"/>
  <c r="Q73" i="4" s="1"/>
  <c r="R34" i="4"/>
  <c r="K43" i="4"/>
  <c r="S16" i="4"/>
  <c r="G13" i="3" s="1"/>
  <c r="R70" i="4"/>
  <c r="R71" i="4" s="1"/>
  <c r="Q9" i="4"/>
  <c r="R35" i="4"/>
  <c r="P11" i="4"/>
  <c r="R14" i="4"/>
  <c r="R39" i="4"/>
  <c r="S38" i="4"/>
  <c r="Z15" i="4" l="1"/>
  <c r="Q33" i="4"/>
  <c r="Q13" i="4" s="1"/>
  <c r="Q17" i="4" s="1"/>
  <c r="P18" i="4"/>
  <c r="R30" i="4"/>
  <c r="R10" i="4"/>
  <c r="R72" i="4" s="1"/>
  <c r="R73" i="4" s="1"/>
  <c r="S34" i="4"/>
  <c r="K45" i="4"/>
  <c r="K47" i="4"/>
  <c r="K46" i="4"/>
  <c r="L43" i="4" s="1"/>
  <c r="T16" i="4"/>
  <c r="O11" i="4"/>
  <c r="S35" i="4"/>
  <c r="S39" i="4"/>
  <c r="T38" i="4"/>
  <c r="S14" i="4"/>
  <c r="R9" i="4"/>
  <c r="S70" i="4"/>
  <c r="S71" i="4" s="1"/>
  <c r="AA15" i="4" l="1"/>
  <c r="AB15" i="4" s="1"/>
  <c r="AD15" i="4"/>
  <c r="R33" i="4"/>
  <c r="R13" i="4" s="1"/>
  <c r="R17" i="4" s="1"/>
  <c r="S30" i="4"/>
  <c r="S10" i="4"/>
  <c r="S72" i="4" s="1"/>
  <c r="S73" i="4" s="1"/>
  <c r="T34" i="4"/>
  <c r="T39" i="4"/>
  <c r="U38" i="4"/>
  <c r="R11" i="4"/>
  <c r="T70" i="4"/>
  <c r="T71" i="4" s="1"/>
  <c r="U16" i="4"/>
  <c r="T14" i="4"/>
  <c r="G11" i="3"/>
  <c r="O18" i="4"/>
  <c r="S9" i="4"/>
  <c r="G6" i="3" s="1"/>
  <c r="T35" i="4"/>
  <c r="Q11" i="4"/>
  <c r="Q18" i="4" s="1"/>
  <c r="I12" i="3" l="1"/>
  <c r="J12" i="3" s="1"/>
  <c r="K12" i="3" s="1"/>
  <c r="R18" i="4"/>
  <c r="S33" i="4"/>
  <c r="S13" i="4" s="1"/>
  <c r="T30" i="4"/>
  <c r="T10" i="4"/>
  <c r="T72" i="4" s="1"/>
  <c r="T73" i="4" s="1"/>
  <c r="U34" i="4"/>
  <c r="G7" i="3"/>
  <c r="G8" i="3" s="1"/>
  <c r="T9" i="4"/>
  <c r="S11" i="4"/>
  <c r="U70" i="4"/>
  <c r="U71" i="4" s="1"/>
  <c r="V38" i="4"/>
  <c r="U39" i="4"/>
  <c r="U35" i="4"/>
  <c r="V16" i="4"/>
  <c r="U14" i="4"/>
  <c r="S17" i="4" l="1"/>
  <c r="G14" i="3" s="1"/>
  <c r="G10" i="3"/>
  <c r="T33" i="4"/>
  <c r="T13" i="4" s="1"/>
  <c r="T17" i="4" s="1"/>
  <c r="U30" i="4"/>
  <c r="U10" i="4"/>
  <c r="U72" i="4" s="1"/>
  <c r="U73" i="4" s="1"/>
  <c r="V34" i="4"/>
  <c r="V70" i="4"/>
  <c r="V71" i="4" s="1"/>
  <c r="V14" i="4"/>
  <c r="V39" i="4"/>
  <c r="W38" i="4"/>
  <c r="U9" i="4"/>
  <c r="V35" i="4"/>
  <c r="T11" i="4"/>
  <c r="W16" i="4"/>
  <c r="S18" i="4" l="1"/>
  <c r="G15" i="3" s="1"/>
  <c r="U33" i="4"/>
  <c r="U13" i="4" s="1"/>
  <c r="U17" i="4" s="1"/>
  <c r="V30" i="4"/>
  <c r="V10" i="4"/>
  <c r="V72" i="4" s="1"/>
  <c r="V73" i="4" s="1"/>
  <c r="W34" i="4"/>
  <c r="T18" i="4"/>
  <c r="W14" i="4"/>
  <c r="X16" i="4"/>
  <c r="H13" i="3" s="1"/>
  <c r="V9" i="4"/>
  <c r="W39" i="4"/>
  <c r="X38" i="4"/>
  <c r="W35" i="4"/>
  <c r="W70" i="4"/>
  <c r="W71" i="4" s="1"/>
  <c r="U11" i="4"/>
  <c r="V33" i="4" l="1"/>
  <c r="V13" i="4" s="1"/>
  <c r="V17" i="4" s="1"/>
  <c r="U18" i="4"/>
  <c r="W30" i="4"/>
  <c r="W10" i="4"/>
  <c r="W72" i="4" s="1"/>
  <c r="W73" i="4" s="1"/>
  <c r="X34" i="4"/>
  <c r="Y16" i="4"/>
  <c r="V11" i="4"/>
  <c r="X39" i="4"/>
  <c r="Y38" i="4"/>
  <c r="X70" i="4"/>
  <c r="X71" i="4" s="1"/>
  <c r="X35" i="4"/>
  <c r="W9" i="4"/>
  <c r="X14" i="4"/>
  <c r="W33" i="4" l="1"/>
  <c r="W13" i="4" s="1"/>
  <c r="W17" i="4" s="1"/>
  <c r="V18" i="4"/>
  <c r="X30" i="4"/>
  <c r="X10" i="4"/>
  <c r="X72" i="4" s="1"/>
  <c r="X73" i="4" s="1"/>
  <c r="Y34" i="4"/>
  <c r="W11" i="4"/>
  <c r="Y35" i="4"/>
  <c r="Z38" i="4"/>
  <c r="Y39" i="4"/>
  <c r="X9" i="4"/>
  <c r="H6" i="3" s="1"/>
  <c r="Y14" i="4"/>
  <c r="H11" i="3"/>
  <c r="Z16" i="4"/>
  <c r="Y70" i="4"/>
  <c r="Y71" i="4" s="1"/>
  <c r="X33" i="4" l="1"/>
  <c r="X13" i="4" s="1"/>
  <c r="W18" i="4"/>
  <c r="Y30" i="4"/>
  <c r="Y10" i="4"/>
  <c r="Y72" i="4" s="1"/>
  <c r="Y73" i="4" s="1"/>
  <c r="Z34" i="4"/>
  <c r="AA16" i="4"/>
  <c r="Y9" i="4"/>
  <c r="Z35" i="4"/>
  <c r="Z70" i="4"/>
  <c r="Z71" i="4" s="1"/>
  <c r="Z14" i="4"/>
  <c r="H7" i="3"/>
  <c r="Z39" i="4"/>
  <c r="AA38" i="4"/>
  <c r="X17" i="4" l="1"/>
  <c r="H14" i="3" s="1"/>
  <c r="H10" i="3"/>
  <c r="Y33" i="4"/>
  <c r="Y13" i="4" s="1"/>
  <c r="Y17" i="4" s="1"/>
  <c r="Z30" i="4"/>
  <c r="Z10" i="4"/>
  <c r="Z72" i="4" s="1"/>
  <c r="Z73" i="4" s="1"/>
  <c r="AA34" i="4"/>
  <c r="AA14" i="4"/>
  <c r="Z9" i="4"/>
  <c r="AA39" i="4"/>
  <c r="AB38" i="4"/>
  <c r="X11" i="4"/>
  <c r="Y11" i="4"/>
  <c r="AA70" i="4"/>
  <c r="AA71" i="4" s="1"/>
  <c r="AA35" i="4"/>
  <c r="H8" i="3"/>
  <c r="AB16" i="4"/>
  <c r="X18" i="4" l="1"/>
  <c r="H15" i="3" s="1"/>
  <c r="Z33" i="4"/>
  <c r="Z13" i="4" s="1"/>
  <c r="Z17" i="4" s="1"/>
  <c r="Y18" i="4"/>
  <c r="AA30" i="4"/>
  <c r="AA10" i="4"/>
  <c r="AA72" i="4" s="1"/>
  <c r="AA73" i="4" s="1"/>
  <c r="AB34" i="4"/>
  <c r="Z11" i="4"/>
  <c r="AB70" i="4"/>
  <c r="AB71" i="4" s="1"/>
  <c r="AC16" i="4"/>
  <c r="AD16" i="4" s="1"/>
  <c r="AB39" i="4"/>
  <c r="AC38" i="4"/>
  <c r="AA9" i="4"/>
  <c r="AB35" i="4"/>
  <c r="AB14" i="4"/>
  <c r="AA33" i="4" l="1"/>
  <c r="AA13" i="4" s="1"/>
  <c r="AA17" i="4" s="1"/>
  <c r="Z18" i="4"/>
  <c r="I13" i="3"/>
  <c r="J13" i="3" s="1"/>
  <c r="K13" i="3" s="1"/>
  <c r="AB30" i="4"/>
  <c r="AB10" i="4"/>
  <c r="AB72" i="4" s="1"/>
  <c r="AB73" i="4" s="1"/>
  <c r="AC34" i="4"/>
  <c r="AA11" i="4"/>
  <c r="AC70" i="4"/>
  <c r="AC71" i="4" s="1"/>
  <c r="AD71" i="4" s="1"/>
  <c r="AC35" i="4"/>
  <c r="AB9" i="4"/>
  <c r="AC39" i="4"/>
  <c r="H74" i="4"/>
  <c r="I89" i="4"/>
  <c r="AC14" i="4"/>
  <c r="AB33" i="4" l="1"/>
  <c r="AB13" i="4" s="1"/>
  <c r="AB17" i="4" s="1"/>
  <c r="I11" i="3"/>
  <c r="J11" i="3" s="1"/>
  <c r="AD14" i="4"/>
  <c r="AA18" i="4"/>
  <c r="AC30" i="4"/>
  <c r="AC9" i="4"/>
  <c r="AD9" i="4" s="1"/>
  <c r="AC10" i="4"/>
  <c r="AC72" i="4" s="1"/>
  <c r="AD27" i="4"/>
  <c r="AB11" i="4"/>
  <c r="AC73" i="4" l="1"/>
  <c r="AD72" i="4"/>
  <c r="AC33" i="4"/>
  <c r="AC13" i="4" s="1"/>
  <c r="AB18" i="4"/>
  <c r="I6" i="3"/>
  <c r="J6" i="3" s="1"/>
  <c r="K6" i="3" s="1"/>
  <c r="K11" i="3"/>
  <c r="I10" i="3" l="1"/>
  <c r="J10" i="3" s="1"/>
  <c r="AD13" i="4"/>
  <c r="AC17" i="4"/>
  <c r="AD17" i="4" s="1"/>
  <c r="AD73" i="4"/>
  <c r="H90" i="4" s="1"/>
  <c r="J74" i="4"/>
  <c r="I90" i="4" s="1"/>
  <c r="I7" i="3"/>
  <c r="I14" i="3" l="1"/>
  <c r="J14" i="3" s="1"/>
  <c r="K14" i="3" s="1"/>
  <c r="K10" i="3"/>
  <c r="AE17" i="4"/>
  <c r="AC11" i="4"/>
  <c r="AD11" i="4" s="1"/>
  <c r="AD10" i="4"/>
  <c r="J7" i="3"/>
  <c r="I8" i="3"/>
  <c r="J8" i="3" s="1"/>
  <c r="AC18" i="4" l="1"/>
  <c r="K7" i="3"/>
  <c r="AE11" i="4"/>
  <c r="K8" i="3"/>
  <c r="AD18" i="4" l="1"/>
  <c r="AE18" i="4" s="1"/>
  <c r="I15" i="3"/>
  <c r="J15" i="3" s="1"/>
  <c r="J53" i="4"/>
  <c r="K50" i="4" s="1"/>
  <c r="J55" i="4"/>
  <c r="J56" i="4" s="1"/>
  <c r="J57" i="4" s="1"/>
  <c r="J60" i="4" s="1"/>
  <c r="J62" i="4" s="1"/>
  <c r="K15" i="3" l="1"/>
  <c r="J64" i="4"/>
  <c r="J21" i="4"/>
  <c r="B18" i="3" s="1"/>
  <c r="K51" i="4"/>
  <c r="K52" i="4" s="1"/>
  <c r="K61" i="4" l="1"/>
  <c r="J65" i="4"/>
  <c r="J66" i="4"/>
  <c r="J22" i="4"/>
  <c r="B19" i="3" s="1"/>
  <c r="K54" i="4"/>
  <c r="K55" i="4" s="1"/>
  <c r="K21" i="4" l="1"/>
  <c r="K56" i="4"/>
  <c r="K57" i="4" s="1"/>
  <c r="K53" i="4"/>
  <c r="L50" i="4" s="1"/>
  <c r="L51" i="4" s="1"/>
  <c r="C18" i="3" l="1"/>
  <c r="K60" i="4"/>
  <c r="K62" i="4" s="1"/>
  <c r="K64" i="4" s="1"/>
  <c r="K22" i="4"/>
  <c r="C19" i="3" l="1"/>
  <c r="K65" i="4"/>
  <c r="L19" i="4" s="1"/>
  <c r="K66" i="4"/>
  <c r="L61" i="4"/>
  <c r="D16" i="3" l="1"/>
  <c r="L20" i="4"/>
  <c r="D17" i="3" l="1"/>
  <c r="L44" i="4"/>
  <c r="L47" i="4" s="1"/>
  <c r="L45" i="4" l="1"/>
  <c r="L52" i="4" s="1"/>
  <c r="L53" i="4" s="1"/>
  <c r="M50" i="4" s="1"/>
  <c r="M51" i="4" s="1"/>
  <c r="L46" i="4"/>
  <c r="M43" i="4" s="1"/>
  <c r="L54" i="4" l="1"/>
  <c r="L55" i="4" s="1"/>
  <c r="L56" i="4" s="1"/>
  <c r="L57" i="4" s="1"/>
  <c r="L60" i="4" s="1"/>
  <c r="L62" i="4" s="1"/>
  <c r="L21" i="4" l="1"/>
  <c r="L64" i="4"/>
  <c r="M61" i="4" s="1"/>
  <c r="D18" i="3" l="1"/>
  <c r="L22" i="4"/>
  <c r="L66" i="4"/>
  <c r="L65" i="4"/>
  <c r="M19" i="4" s="1"/>
  <c r="E16" i="3" l="1"/>
  <c r="D19" i="3"/>
  <c r="M20" i="4"/>
  <c r="E17" i="3" l="1"/>
  <c r="M44" i="4"/>
  <c r="M47" i="4" s="1"/>
  <c r="M45" i="4" l="1"/>
  <c r="M52" i="4" s="1"/>
  <c r="M53" i="4" s="1"/>
  <c r="N50" i="4" s="1"/>
  <c r="N51" i="4" s="1"/>
  <c r="M46" i="4"/>
  <c r="N43" i="4" s="1"/>
  <c r="M54" i="4" l="1"/>
  <c r="M55" i="4" s="1"/>
  <c r="M21" i="4" l="1"/>
  <c r="M56" i="4"/>
  <c r="M57" i="4" s="1"/>
  <c r="M60" i="4" s="1"/>
  <c r="M62" i="4" s="1"/>
  <c r="E18" i="3" l="1"/>
  <c r="M22" i="4"/>
  <c r="M64" i="4"/>
  <c r="E19" i="3" l="1"/>
  <c r="N61" i="4"/>
  <c r="M65" i="4"/>
  <c r="N19" i="4" s="1"/>
  <c r="M66" i="4"/>
  <c r="F16" i="3" l="1"/>
  <c r="N20" i="4"/>
  <c r="F17" i="3" l="1"/>
  <c r="N44" i="4"/>
  <c r="N45" i="4" s="1"/>
  <c r="N47" i="4" l="1"/>
  <c r="N46" i="4"/>
  <c r="O43" i="4" s="1"/>
  <c r="N52" i="4"/>
  <c r="N53" i="4" s="1"/>
  <c r="O50" i="4" s="1"/>
  <c r="O51" i="4" s="1"/>
  <c r="N54" i="4" l="1"/>
  <c r="N55" i="4" s="1"/>
  <c r="N21" i="4" l="1"/>
  <c r="N56" i="4"/>
  <c r="N57" i="4" s="1"/>
  <c r="N60" i="4" s="1"/>
  <c r="N62" i="4" s="1"/>
  <c r="F18" i="3" l="1"/>
  <c r="N22" i="4"/>
  <c r="N64" i="4"/>
  <c r="F19" i="3" l="1"/>
  <c r="O61" i="4"/>
  <c r="N65" i="4"/>
  <c r="O19" i="4" s="1"/>
  <c r="N66" i="4"/>
  <c r="O20" i="4" l="1"/>
  <c r="O44" i="4" l="1"/>
  <c r="O47" i="4" s="1"/>
  <c r="O45" i="4" l="1"/>
  <c r="O52" i="4" s="1"/>
  <c r="O53" i="4" s="1"/>
  <c r="P50" i="4" s="1"/>
  <c r="P51" i="4" s="1"/>
  <c r="O46" i="4"/>
  <c r="P43" i="4" s="1"/>
  <c r="O54" i="4" l="1"/>
  <c r="O55" i="4" s="1"/>
  <c r="O56" i="4" s="1"/>
  <c r="O57" i="4" s="1"/>
  <c r="O60" i="4" s="1"/>
  <c r="O62" i="4" s="1"/>
  <c r="O21" i="4" l="1"/>
  <c r="O22" i="4" s="1"/>
  <c r="O64" i="4"/>
  <c r="O65" i="4" s="1"/>
  <c r="P19" i="4" s="1"/>
  <c r="O66" i="4" l="1"/>
  <c r="P61" i="4"/>
  <c r="P20" i="4"/>
  <c r="P44" i="4" l="1"/>
  <c r="P47" i="4" l="1"/>
  <c r="P45" i="4"/>
  <c r="P46" i="4"/>
  <c r="Q43" i="4" s="1"/>
  <c r="P52" i="4" l="1"/>
  <c r="P53" i="4" s="1"/>
  <c r="Q50" i="4" s="1"/>
  <c r="P54" i="4" l="1"/>
  <c r="P55" i="4" s="1"/>
  <c r="Q51" i="4"/>
  <c r="P21" i="4" l="1"/>
  <c r="P56" i="4"/>
  <c r="P57" i="4" s="1"/>
  <c r="P60" i="4" l="1"/>
  <c r="P62" i="4" s="1"/>
  <c r="P22" i="4"/>
  <c r="P64" i="4" l="1"/>
  <c r="P65" i="4" s="1"/>
  <c r="Q19" i="4" s="1"/>
  <c r="P66" i="4" l="1"/>
  <c r="Q61" i="4"/>
  <c r="Q20" i="4"/>
  <c r="Q44" i="4" l="1"/>
  <c r="Q47" i="4" l="1"/>
  <c r="Q45" i="4"/>
  <c r="Q46" i="4"/>
  <c r="R43" i="4" s="1"/>
  <c r="Q52" i="4" l="1"/>
  <c r="Q53" i="4" s="1"/>
  <c r="R50" i="4" s="1"/>
  <c r="Q54" i="4" l="1"/>
  <c r="Q55" i="4" s="1"/>
  <c r="R51" i="4"/>
  <c r="Q21" i="4" l="1"/>
  <c r="Q56" i="4"/>
  <c r="Q57" i="4" s="1"/>
  <c r="Q60" i="4" l="1"/>
  <c r="Q62" i="4" s="1"/>
  <c r="Q22" i="4"/>
  <c r="Q64" i="4" l="1"/>
  <c r="Q65" i="4" s="1"/>
  <c r="R19" i="4" s="1"/>
  <c r="Q66" i="4" l="1"/>
  <c r="R61" i="4"/>
  <c r="R20" i="4"/>
  <c r="R44" i="4" l="1"/>
  <c r="R47" i="4" l="1"/>
  <c r="R46" i="4"/>
  <c r="S43" i="4" s="1"/>
  <c r="R45" i="4"/>
  <c r="R52" i="4" l="1"/>
  <c r="R53" i="4" s="1"/>
  <c r="S50" i="4" s="1"/>
  <c r="S51" i="4" l="1"/>
  <c r="R54" i="4"/>
  <c r="R55" i="4" s="1"/>
  <c r="R21" i="4" l="1"/>
  <c r="R56" i="4"/>
  <c r="R57" i="4" s="1"/>
  <c r="R60" i="4" l="1"/>
  <c r="R62" i="4" s="1"/>
  <c r="R22" i="4"/>
  <c r="R64" i="4" l="1"/>
  <c r="R65" i="4" s="1"/>
  <c r="S19" i="4" s="1"/>
  <c r="G16" i="3" s="1"/>
  <c r="R66" i="4" l="1"/>
  <c r="S61" i="4"/>
  <c r="S20" i="4"/>
  <c r="G17" i="3" s="1"/>
  <c r="S44" i="4" l="1"/>
  <c r="S47" i="4" l="1"/>
  <c r="S46" i="4"/>
  <c r="T43" i="4" s="1"/>
  <c r="S45" i="4"/>
  <c r="S52" i="4" s="1"/>
  <c r="S54" i="4" l="1"/>
  <c r="S55" i="4" s="1"/>
  <c r="S53" i="4"/>
  <c r="T50" i="4" s="1"/>
  <c r="S21" i="4" l="1"/>
  <c r="G18" i="3" s="1"/>
  <c r="S56" i="4"/>
  <c r="S57" i="4" s="1"/>
  <c r="T51" i="4"/>
  <c r="S60" i="4" l="1"/>
  <c r="S62" i="4" s="1"/>
  <c r="S22" i="4"/>
  <c r="G19" i="3" s="1"/>
  <c r="S64" i="4" l="1"/>
  <c r="S65" i="4" s="1"/>
  <c r="T19" i="4" s="1"/>
  <c r="T20" i="4" l="1"/>
  <c r="T44" i="4" s="1"/>
  <c r="S66" i="4"/>
  <c r="T61" i="4"/>
  <c r="T47" i="4" l="1"/>
  <c r="T46" i="4"/>
  <c r="U43" i="4" s="1"/>
  <c r="T45" i="4"/>
  <c r="T52" i="4" l="1"/>
  <c r="T53" i="4" s="1"/>
  <c r="U50" i="4" s="1"/>
  <c r="U51" i="4" s="1"/>
  <c r="T54" i="4" l="1"/>
  <c r="T55" i="4" s="1"/>
  <c r="T56" i="4" s="1"/>
  <c r="T57" i="4" s="1"/>
  <c r="T60" i="4" l="1"/>
  <c r="T62" i="4" s="1"/>
  <c r="T21" i="4"/>
  <c r="T22" i="4" l="1"/>
  <c r="T64" i="4"/>
  <c r="T65" i="4" s="1"/>
  <c r="U19" i="4" s="1"/>
  <c r="U20" i="4" l="1"/>
  <c r="T66" i="4"/>
  <c r="U61" i="4"/>
  <c r="U44" i="4" l="1"/>
  <c r="U46" i="4" s="1"/>
  <c r="V43" i="4" s="1"/>
  <c r="U45" i="4" l="1"/>
  <c r="U52" i="4" s="1"/>
  <c r="U53" i="4" s="1"/>
  <c r="V50" i="4" s="1"/>
  <c r="U47" i="4"/>
  <c r="U54" i="4" l="1"/>
  <c r="U55" i="4" s="1"/>
  <c r="U21" i="4" s="1"/>
  <c r="V51" i="4"/>
  <c r="U56" i="4" l="1"/>
  <c r="U57" i="4" s="1"/>
  <c r="U22" i="4"/>
  <c r="U60" i="4" l="1"/>
  <c r="U62" i="4" s="1"/>
  <c r="U64" i="4" s="1"/>
  <c r="U65" i="4" s="1"/>
  <c r="U66" i="4" l="1"/>
  <c r="V19" i="4"/>
  <c r="V61" i="4"/>
  <c r="V20" i="4" l="1"/>
  <c r="V44" i="4" l="1"/>
  <c r="V46" i="4" s="1"/>
  <c r="W43" i="4" s="1"/>
  <c r="V45" i="4" l="1"/>
  <c r="V52" i="4" s="1"/>
  <c r="V53" i="4" s="1"/>
  <c r="W50" i="4" s="1"/>
  <c r="V47" i="4"/>
  <c r="V54" i="4" l="1"/>
  <c r="V55" i="4" s="1"/>
  <c r="V56" i="4" s="1"/>
  <c r="V57" i="4" s="1"/>
  <c r="W51" i="4"/>
  <c r="V21" i="4" l="1"/>
  <c r="V22" i="4" s="1"/>
  <c r="V60" i="4"/>
  <c r="V62" i="4" s="1"/>
  <c r="V64" i="4" l="1"/>
  <c r="V65" i="4" s="1"/>
  <c r="W19" i="4" s="1"/>
  <c r="V66" i="4" l="1"/>
  <c r="W61" i="4"/>
  <c r="W20" i="4"/>
  <c r="W44" i="4" l="1"/>
  <c r="W47" i="4" l="1"/>
  <c r="W45" i="4"/>
  <c r="W46" i="4"/>
  <c r="X43" i="4" s="1"/>
  <c r="W52" i="4" l="1"/>
  <c r="W53" i="4" s="1"/>
  <c r="X50" i="4" s="1"/>
  <c r="W54" i="4" l="1"/>
  <c r="W55" i="4" s="1"/>
  <c r="W56" i="4" s="1"/>
  <c r="W57" i="4" s="1"/>
  <c r="X51" i="4"/>
  <c r="W60" i="4" l="1"/>
  <c r="W62" i="4" s="1"/>
  <c r="W21" i="4"/>
  <c r="W22" i="4" s="1"/>
  <c r="W64" i="4" l="1"/>
  <c r="W65" i="4" s="1"/>
  <c r="X19" i="4" s="1"/>
  <c r="H16" i="3" s="1"/>
  <c r="W66" i="4" l="1"/>
  <c r="X61" i="4"/>
  <c r="X20" i="4"/>
  <c r="H17" i="3" s="1"/>
  <c r="X44" i="4" l="1"/>
  <c r="X47" i="4" l="1"/>
  <c r="X45" i="4"/>
  <c r="X46" i="4"/>
  <c r="Y43" i="4" s="1"/>
  <c r="X52" i="4" l="1"/>
  <c r="X53" i="4" s="1"/>
  <c r="Y50" i="4" s="1"/>
  <c r="X54" i="4" l="1"/>
  <c r="X55" i="4" s="1"/>
  <c r="X56" i="4" s="1"/>
  <c r="X57" i="4" s="1"/>
  <c r="Y51" i="4"/>
  <c r="X60" i="4" l="1"/>
  <c r="X62" i="4" s="1"/>
  <c r="X21" i="4"/>
  <c r="H18" i="3" s="1"/>
  <c r="X64" i="4" l="1"/>
  <c r="X65" i="4" s="1"/>
  <c r="Y19" i="4" s="1"/>
  <c r="X22" i="4"/>
  <c r="H19" i="3" s="1"/>
  <c r="X66" i="4" l="1"/>
  <c r="Y61" i="4"/>
  <c r="Y20" i="4"/>
  <c r="Y44" i="4" l="1"/>
  <c r="Y47" i="4" l="1"/>
  <c r="Y45" i="4"/>
  <c r="Y46" i="4"/>
  <c r="Z43" i="4" s="1"/>
  <c r="Y52" i="4" l="1"/>
  <c r="Y53" i="4" s="1"/>
  <c r="Z50" i="4" s="1"/>
  <c r="Z51" i="4" s="1"/>
  <c r="Y54" i="4" l="1"/>
  <c r="Y55" i="4" s="1"/>
  <c r="Y56" i="4" s="1"/>
  <c r="Y57" i="4" s="1"/>
  <c r="Y60" i="4" l="1"/>
  <c r="Y21" i="4"/>
  <c r="Y22" i="4" l="1"/>
  <c r="Y62" i="4"/>
  <c r="Y64" i="4" l="1"/>
  <c r="Y65" i="4" s="1"/>
  <c r="Z19" i="4" s="1"/>
  <c r="Z20" i="4" l="1"/>
  <c r="Z44" i="4" s="1"/>
  <c r="Y66" i="4"/>
  <c r="Z61" i="4"/>
  <c r="Z47" i="4" l="1"/>
  <c r="Z45" i="4"/>
  <c r="Z46" i="4"/>
  <c r="AA43" i="4" s="1"/>
  <c r="Z52" i="4" l="1"/>
  <c r="Z53" i="4" s="1"/>
  <c r="AA50" i="4" s="1"/>
  <c r="AA51" i="4" l="1"/>
  <c r="Z54" i="4"/>
  <c r="Z55" i="4" s="1"/>
  <c r="Z21" i="4" l="1"/>
  <c r="Z56" i="4"/>
  <c r="Z57" i="4" s="1"/>
  <c r="Z60" i="4" s="1"/>
  <c r="Z62" i="4" s="1"/>
  <c r="Z64" i="4" l="1"/>
  <c r="Z66" i="4" s="1"/>
  <c r="Z22" i="4"/>
  <c r="AA61" i="4" l="1"/>
  <c r="Z65" i="4"/>
  <c r="AA19" i="4" l="1"/>
  <c r="AA20" i="4" l="1"/>
  <c r="AA44" i="4" l="1"/>
  <c r="AA47" i="4" l="1"/>
  <c r="AA46" i="4"/>
  <c r="AB43" i="4" s="1"/>
  <c r="AA45" i="4"/>
  <c r="AA52" i="4" l="1"/>
  <c r="AA53" i="4" s="1"/>
  <c r="AB50" i="4" s="1"/>
  <c r="AA54" i="4" l="1"/>
  <c r="AA55" i="4" s="1"/>
  <c r="AB51" i="4"/>
  <c r="AA21" i="4" l="1"/>
  <c r="AA56" i="4"/>
  <c r="AA57" i="4" s="1"/>
  <c r="AA60" i="4" l="1"/>
  <c r="AA62" i="4" s="1"/>
  <c r="AA22" i="4"/>
  <c r="AA64" i="4" l="1"/>
  <c r="AA65" i="4" s="1"/>
  <c r="AB19" i="4" s="1"/>
  <c r="AB20" i="4" s="1"/>
  <c r="AA66" i="4" l="1"/>
  <c r="AB61" i="4"/>
  <c r="AB44" i="4"/>
  <c r="AB47" i="4" l="1"/>
  <c r="AB46" i="4"/>
  <c r="AC43" i="4" s="1"/>
  <c r="AB45" i="4"/>
  <c r="AB52" i="4" l="1"/>
  <c r="AB53" i="4" s="1"/>
  <c r="AC50" i="4" s="1"/>
  <c r="AC51" i="4" s="1"/>
  <c r="AB54" i="4" l="1"/>
  <c r="AB55" i="4" s="1"/>
  <c r="AB21" i="4" l="1"/>
  <c r="AB56" i="4"/>
  <c r="AB57" i="4" s="1"/>
  <c r="AB60" i="4" s="1"/>
  <c r="AB62" i="4" s="1"/>
  <c r="AB64" i="4" l="1"/>
  <c r="AF64" i="4" s="1"/>
  <c r="AG64" i="4" s="1"/>
  <c r="AB22" i="4"/>
  <c r="AB66" i="4" l="1"/>
  <c r="AC61" i="4"/>
  <c r="AB65" i="4"/>
  <c r="AC19" i="4" l="1"/>
  <c r="AC20" i="4" s="1"/>
  <c r="AD19" i="4" l="1"/>
  <c r="H91" i="4" s="1"/>
  <c r="I16" i="3"/>
  <c r="J16" i="3" s="1"/>
  <c r="I91" i="4"/>
  <c r="K16" i="3" l="1"/>
  <c r="AD20" i="4"/>
  <c r="AE20" i="4" s="1"/>
  <c r="I17" i="3"/>
  <c r="J17" i="3" s="1"/>
  <c r="AC44" i="4"/>
  <c r="AD44" i="4" s="1"/>
  <c r="K17" i="3" l="1"/>
  <c r="AC45" i="4"/>
  <c r="AC52" i="4" s="1"/>
  <c r="AD52" i="4" s="1"/>
  <c r="AC46" i="4"/>
  <c r="AC47" i="4"/>
  <c r="AD47" i="4" s="1"/>
  <c r="AD45" i="4" l="1"/>
  <c r="AC54" i="4"/>
  <c r="AD54" i="4" s="1"/>
  <c r="AC53" i="4"/>
  <c r="AC55" i="4" l="1"/>
  <c r="AD55" i="4" l="1"/>
  <c r="AC56" i="4"/>
  <c r="AC21" i="4"/>
  <c r="AC22" i="4" s="1"/>
  <c r="AD21" i="4" l="1"/>
  <c r="I18" i="3"/>
  <c r="J18" i="3" s="1"/>
  <c r="AD56" i="4"/>
  <c r="AC57" i="4"/>
  <c r="AC60" i="4" s="1"/>
  <c r="AC62" i="4" s="1"/>
  <c r="AH64" i="4" s="1"/>
  <c r="AI64" i="4" s="1"/>
  <c r="AC64" i="4" s="1"/>
  <c r="AC66" i="4" s="1"/>
  <c r="K18" i="3" l="1"/>
  <c r="AD22" i="4"/>
  <c r="I19" i="3"/>
  <c r="J19" i="3" s="1"/>
  <c r="AD64" i="4"/>
  <c r="AC65" i="4"/>
  <c r="G4" i="2" s="1"/>
  <c r="G5" i="2" l="1"/>
  <c r="AE22" i="4"/>
  <c r="K19" i="3"/>
</calcChain>
</file>

<file path=xl/sharedStrings.xml><?xml version="1.0" encoding="utf-8"?>
<sst xmlns="http://schemas.openxmlformats.org/spreadsheetml/2006/main" count="447" uniqueCount="292">
  <si>
    <t>How to use this workbook</t>
  </si>
  <si>
    <t>This workbook can be used as a financial modelling tool, to establish profitability with different input figures.</t>
  </si>
  <si>
    <t>Do this by entering new data in orange cells.</t>
  </si>
  <si>
    <r>
      <t>The figures most likely to vary can be entered in the</t>
    </r>
    <r>
      <rPr>
        <i/>
        <sz val="11"/>
        <color theme="1"/>
        <rFont val="Calibri"/>
        <family val="2"/>
        <scheme val="minor"/>
      </rPr>
      <t xml:space="preserve"> Overview</t>
    </r>
    <r>
      <rPr>
        <sz val="12"/>
        <color theme="1"/>
        <rFont val="Calibri"/>
        <family val="2"/>
        <scheme val="minor"/>
      </rPr>
      <t xml:space="preserve"> </t>
    </r>
    <r>
      <rPr>
        <i/>
        <sz val="11"/>
        <color theme="1"/>
        <rFont val="Calibri"/>
        <family val="2"/>
        <scheme val="minor"/>
      </rPr>
      <t>tab</t>
    </r>
    <r>
      <rPr>
        <sz val="12"/>
        <color theme="1"/>
        <rFont val="Calibri"/>
        <family val="2"/>
        <scheme val="minor"/>
      </rPr>
      <t>.</t>
    </r>
  </si>
  <si>
    <t>When changes are made on this tab, check both of these indicators are green.</t>
  </si>
  <si>
    <t>a</t>
  </si>
  <si>
    <t>b</t>
  </si>
  <si>
    <t>Factors influencing benefit sharing</t>
  </si>
  <si>
    <t>Number of project years (min= 1, max= 35)</t>
  </si>
  <si>
    <t>Basic sensitivity analysis</t>
  </si>
  <si>
    <t>Notes to charts</t>
  </si>
  <si>
    <t>a.</t>
  </si>
  <si>
    <t xml:space="preserve">The pie charts represent the direct financial benefits from the project.  </t>
  </si>
  <si>
    <t>b.</t>
  </si>
  <si>
    <t>The second pie chart shows the benefits at net present value (NPV).  This is the value over the term of the project, adjusted for inflation, to show its value in today's money.</t>
  </si>
  <si>
    <t>c</t>
  </si>
  <si>
    <t>d</t>
  </si>
  <si>
    <t>NPV</t>
  </si>
  <si>
    <t>Profit and Loss Forecast Summary</t>
  </si>
  <si>
    <t>Figures shown in £000s</t>
  </si>
  <si>
    <t>6-10</t>
  </si>
  <si>
    <t>11-15</t>
  </si>
  <si>
    <t>16-20</t>
  </si>
  <si>
    <t>Total</t>
  </si>
  <si>
    <t>Sales</t>
  </si>
  <si>
    <t>Local sales</t>
  </si>
  <si>
    <t>Total Annual Sales</t>
  </si>
  <si>
    <t>Cost of sales</t>
  </si>
  <si>
    <t>System operating costs</t>
  </si>
  <si>
    <t>Contribution to CBS operating costs</t>
  </si>
  <si>
    <t>Total cost of sales</t>
  </si>
  <si>
    <t>EBIT</t>
  </si>
  <si>
    <t xml:space="preserve">Share  Interest </t>
  </si>
  <si>
    <t>Net profit before tax</t>
  </si>
  <si>
    <t>Key:</t>
  </si>
  <si>
    <t>Outstanding issue to address or note.</t>
  </si>
  <si>
    <t>User-changeable variable</t>
  </si>
  <si>
    <t>Non-standard value</t>
  </si>
  <si>
    <t>Cell value altered by last user</t>
  </si>
  <si>
    <t>Starting date</t>
  </si>
  <si>
    <t>March</t>
  </si>
  <si>
    <t>Project Year</t>
  </si>
  <si>
    <t>At</t>
  </si>
  <si>
    <t>check</t>
  </si>
  <si>
    <t>A.</t>
  </si>
  <si>
    <t>Profit and Loss Forecast</t>
  </si>
  <si>
    <t>£</t>
  </si>
  <si>
    <t>Base £/yr 1</t>
  </si>
  <si>
    <t>£/yr</t>
  </si>
  <si>
    <t>EBIT roughly equates to gross profit, for an energy society)</t>
  </si>
  <si>
    <t>Share interest</t>
  </si>
  <si>
    <t>B.</t>
  </si>
  <si>
    <t>Operating data</t>
  </si>
  <si>
    <t>Generation and sales quantities</t>
  </si>
  <si>
    <t>kWh</t>
  </si>
  <si>
    <t>degradation</t>
  </si>
  <si>
    <t>p. p kWh yr 1</t>
  </si>
  <si>
    <t>Inflation rates</t>
  </si>
  <si>
    <t xml:space="preserve"> RPI</t>
  </si>
  <si>
    <t>p.a. yr 1</t>
  </si>
  <si>
    <t>p.a. yr 1 above RPI</t>
  </si>
  <si>
    <t>Share capital outstanding</t>
  </si>
  <si>
    <t xml:space="preserve"> of yr 0 capital p/yr </t>
  </si>
  <si>
    <t>Closing share capital outstanding</t>
  </si>
  <si>
    <t>C.</t>
  </si>
  <si>
    <t>p. p kWh</t>
  </si>
  <si>
    <t>Savings to user from solar PV generation purchases</t>
  </si>
  <si>
    <t>NPV of savings to user</t>
  </si>
  <si>
    <t>Discount rate</t>
  </si>
  <si>
    <t>Note:</t>
  </si>
  <si>
    <t xml:space="preserve">NPV stands for "Net Present Value", and is an estimate of the value in today's money of future payments over several years.  Its accuracy depends how similar the discount rate is to the rate of inflation over time.  </t>
  </si>
  <si>
    <t>D.</t>
  </si>
  <si>
    <t>Assumptions</t>
  </si>
  <si>
    <t xml:space="preserve">All operating costs </t>
  </si>
  <si>
    <t>Rise in line with RPI increase.</t>
  </si>
  <si>
    <t>Falling technology costs matched by RPI increases (so payments to reserve constant).</t>
  </si>
  <si>
    <t>System removal cost</t>
  </si>
  <si>
    <t>If zero, assumes lease permits system to be left on site at end of term</t>
  </si>
  <si>
    <t>All local sales</t>
  </si>
  <si>
    <t>No change in demand over time.</t>
  </si>
  <si>
    <t>Degradation</t>
  </si>
  <si>
    <t>Business rates</t>
  </si>
  <si>
    <t>Calculated as a constant above RPI, which it has exceeded over the long term.</t>
  </si>
  <si>
    <t>F.</t>
  </si>
  <si>
    <t>Summary of benefits to participants</t>
  </si>
  <si>
    <t xml:space="preserve">Flat </t>
  </si>
  <si>
    <t>NPV discount rate:</t>
  </si>
  <si>
    <t>Local user</t>
  </si>
  <si>
    <t>Members: Share interest</t>
  </si>
  <si>
    <t>All member capital returned by end year 20.</t>
  </si>
  <si>
    <t>G.</t>
  </si>
  <si>
    <t>Input data:</t>
  </si>
  <si>
    <t>Installation-related costs</t>
  </si>
  <si>
    <t>Constant</t>
  </si>
  <si>
    <t>Unit</t>
  </si>
  <si>
    <t>System Removal Cost</t>
  </si>
  <si>
    <t>Installation costs before contingency</t>
  </si>
  <si>
    <t>Contingency</t>
  </si>
  <si>
    <t>Installation costs including contingency</t>
  </si>
  <si>
    <t>Development costs</t>
  </si>
  <si>
    <t>Financial projection review</t>
  </si>
  <si>
    <t>Total predevelopment/ commissioning costs</t>
  </si>
  <si>
    <t>Share capital required</t>
  </si>
  <si>
    <t>System insurance premium</t>
  </si>
  <si>
    <t>Assumes includes public liability.</t>
  </si>
  <si>
    <t>Maintenance charges</t>
  </si>
  <si>
    <t>Not applied in year 1.</t>
  </si>
  <si>
    <t>Monitoring</t>
  </si>
  <si>
    <t>Metering charges</t>
  </si>
  <si>
    <t>£/month</t>
  </si>
  <si>
    <t>Rental</t>
  </si>
  <si>
    <t>£/Year</t>
  </si>
  <si>
    <t>Total system operating costs</t>
  </si>
  <si>
    <t>Generation and sales</t>
  </si>
  <si>
    <t>kWh yr1</t>
  </si>
  <si>
    <t xml:space="preserve"> </t>
  </si>
  <si>
    <t>Negative cashflow?</t>
  </si>
  <si>
    <t>Share interest rate</t>
  </si>
  <si>
    <t>£/yr 1</t>
  </si>
  <si>
    <t>Yes/no</t>
  </si>
  <si>
    <t>Choose</t>
  </si>
  <si>
    <t>Yes</t>
  </si>
  <si>
    <t>No</t>
  </si>
  <si>
    <t>Corporation tax rate</t>
  </si>
  <si>
    <t>From 2020</t>
  </si>
  <si>
    <t>See rates here</t>
  </si>
  <si>
    <t>Tax and capital allowances</t>
  </si>
  <si>
    <t>Writing Down Allowance</t>
  </si>
  <si>
    <t>On integral features and long life assets, see here.</t>
  </si>
  <si>
    <t>Opening asset value</t>
  </si>
  <si>
    <t>Less capital allowance</t>
  </si>
  <si>
    <t>Closing asset value</t>
  </si>
  <si>
    <t>Capped at taxable profit</t>
  </si>
  <si>
    <t>Tax payable</t>
  </si>
  <si>
    <t>Profit after tax</t>
  </si>
  <si>
    <t>Loss carried forward</t>
  </si>
  <si>
    <t>Profit this year</t>
  </si>
  <si>
    <t>Capital allowances</t>
  </si>
  <si>
    <t>Taxable profit after losses</t>
  </si>
  <si>
    <t>Taxable profit after losses brought forward</t>
  </si>
  <si>
    <t>Loss brought down from last year</t>
  </si>
  <si>
    <t>taxable profit after capital allowances</t>
  </si>
  <si>
    <t>Profit available to repay share capital</t>
  </si>
  <si>
    <t>Share Capital repayments max. @</t>
  </si>
  <si>
    <t>Share capital repayments capped at available profit</t>
  </si>
  <si>
    <t>Corporation tax</t>
  </si>
  <si>
    <t>Net profit after tax</t>
  </si>
  <si>
    <t>Cumulative profit after tax</t>
  </si>
  <si>
    <t>Cumulative unused profit carried forward</t>
  </si>
  <si>
    <t>Unused profit brought down</t>
  </si>
  <si>
    <t>Less profit used last year to repay capital</t>
  </si>
  <si>
    <t>Total payments to end year 19</t>
  </si>
  <si>
    <t>Balance to repay all share capital</t>
  </si>
  <si>
    <t>Unused profit available</t>
  </si>
  <si>
    <t>Breakdown of year 20 share repayment calculation</t>
  </si>
  <si>
    <t>Total repaid year 20</t>
  </si>
  <si>
    <t>Is all share capital repaid by end of project?</t>
  </si>
  <si>
    <t>Key indicator checks</t>
  </si>
  <si>
    <t>Rate of inflation (RPI).</t>
  </si>
  <si>
    <t>CBS operating costs year 1</t>
  </si>
  <si>
    <t>This multiplier of annual CBS operating costs:</t>
  </si>
  <si>
    <t>The basic sensitivity analysis shows how the figures change as key inputs change.  It can be used to test what changes are required to make the project financially viable.  Do this by making changes until the above cashflow check cells are green.</t>
  </si>
  <si>
    <t>If one segment is a much smaller slice of the pie in the NPV chart than in the one above, this indicates a large proportion of the benefit is at the end of the term.  Try adjusting the figures in the basic sensitivity analysis to until the two slices are closer in size.</t>
  </si>
  <si>
    <t>Capital cost includes all development  costs. Book value written off in final year</t>
  </si>
  <si>
    <t>Community fund</t>
  </si>
  <si>
    <t>There is no community fund.</t>
  </si>
  <si>
    <r>
      <t xml:space="preserve">When you have made changes, check the  </t>
    </r>
    <r>
      <rPr>
        <i/>
        <sz val="11"/>
        <color theme="1"/>
        <rFont val="Calibri"/>
        <family val="2"/>
        <scheme val="minor"/>
      </rPr>
      <t>Overview</t>
    </r>
    <r>
      <rPr>
        <sz val="11"/>
        <color theme="1"/>
        <rFont val="Calibri"/>
        <family val="2"/>
        <scheme val="minor"/>
      </rPr>
      <t xml:space="preserve"> cells G4 and G5 turn green.  If so, check the benefits to each stakeholder in the pie charts.</t>
    </r>
  </si>
  <si>
    <t>andrew@climatepositive.eu</t>
  </si>
  <si>
    <t>Does the project make profit over the term?</t>
  </si>
  <si>
    <t>Proportion of shares repaid each year (capped at post-tax profit)</t>
  </si>
  <si>
    <t>Site</t>
  </si>
  <si>
    <t>RHI</t>
  </si>
  <si>
    <t>Heat main</t>
  </si>
  <si>
    <t>Northern</t>
  </si>
  <si>
    <t>Southern</t>
  </si>
  <si>
    <t>Notes</t>
  </si>
  <si>
    <t>Key variable</t>
  </si>
  <si>
    <t>A. Annual operating costs and RHI income</t>
  </si>
  <si>
    <t>Generation</t>
  </si>
  <si>
    <t xml:space="preserve">Cost </t>
  </si>
  <si>
    <t>Income</t>
  </si>
  <si>
    <t>Gross</t>
  </si>
  <si>
    <t xml:space="preserve">Net </t>
  </si>
  <si>
    <t>Transmission Losses</t>
  </si>
  <si>
    <t>Net supplied</t>
  </si>
  <si>
    <t>Pellet</t>
  </si>
  <si>
    <t xml:space="preserve">RHI </t>
  </si>
  <si>
    <t xml:space="preserve">Sales </t>
  </si>
  <si>
    <t xml:space="preserve">Gross receipts </t>
  </si>
  <si>
    <t xml:space="preserve">Net receipts </t>
  </si>
  <si>
    <t>Input data</t>
  </si>
  <si>
    <t>Capital cost</t>
  </si>
  <si>
    <t>System</t>
  </si>
  <si>
    <t>Ground-works</t>
  </si>
  <si>
    <t xml:space="preserve">Boiler combustion efficiency </t>
  </si>
  <si>
    <t>Multipier</t>
  </si>
  <si>
    <t>Inverse</t>
  </si>
  <si>
    <t>p/kWh</t>
  </si>
  <si>
    <t>Pellet cost</t>
  </si>
  <si>
    <t>Sale price</t>
  </si>
  <si>
    <t>Northern groundwork cost assumes  the pipe can be passed under the road using a “mole”; if not road closure and repair would add around £5,000 to £7,000.</t>
  </si>
  <si>
    <t>Southern groundworks assumes minimal hand digging.</t>
  </si>
  <si>
    <t>Circulation pump run time assumed to be double the boiler running hours (1314).</t>
  </si>
  <si>
    <t>Sensitivity</t>
  </si>
  <si>
    <t>Groundworks cost</t>
  </si>
  <si>
    <t>This is the largest capital cost variable, and carries significant risk, because encountering existing services or archaeological remains could  increase costs by tens of thousands of pounds.</t>
  </si>
  <si>
    <t>Pipe heat losses</t>
  </si>
  <si>
    <t>For the northern scheme, these could prove greater than projected because most of the heat is pumped through the ground from the hall to the school.  This would increase fuel costs with no commensurate increase in RHI receipts.</t>
  </si>
  <si>
    <t>Changes to heat main route will change the figures.</t>
  </si>
  <si>
    <t>Annual net supplied heat</t>
  </si>
  <si>
    <t>RHI, RPI linked</t>
  </si>
  <si>
    <t>RHI payments</t>
  </si>
  <si>
    <t>Fossil price inflation</t>
  </si>
  <si>
    <t>Metering</t>
  </si>
  <si>
    <t>Fuel costs</t>
  </si>
  <si>
    <t>Fuel costs (pellet)</t>
  </si>
  <si>
    <t>£/kWh</t>
  </si>
  <si>
    <t>Annual gross generated heat</t>
  </si>
  <si>
    <t>Fuel cost and heat sale prices</t>
  </si>
  <si>
    <t>Fuel cost degradation adjusted</t>
  </si>
  <si>
    <t>Year 1</t>
  </si>
  <si>
    <t>p.a.</t>
  </si>
  <si>
    <t>Thereafter</t>
  </si>
  <si>
    <t xml:space="preserve">Cumulative degradation </t>
  </si>
  <si>
    <t>Savings to local users</t>
  </si>
  <si>
    <t>Notional cost if biomass heat had been purchased from fossil supplier</t>
  </si>
  <si>
    <t>Fossil cost</t>
  </si>
  <si>
    <t>RHI  rate</t>
  </si>
  <si>
    <t>Actual cost heat from biomass supplier</t>
  </si>
  <si>
    <t>Current fossil fuel cost</t>
  </si>
  <si>
    <t>Total size of installations</t>
  </si>
  <si>
    <t>Assumed passed to heat user on expiry of term.</t>
  </si>
  <si>
    <t>Wayleaves</t>
  </si>
  <si>
    <t>Lease preparation all  parties</t>
  </si>
  <si>
    <t>Major item replacement reserve</t>
  </si>
  <si>
    <t xml:space="preserve">The degradation factor applies annually to the degraded yield. </t>
  </si>
  <si>
    <t>Notional cost of biomass heat if bought from fossil supplier</t>
  </si>
  <si>
    <r>
      <rPr>
        <b/>
        <sz val="10"/>
        <color theme="1"/>
        <rFont val="Calibri"/>
        <family val="2"/>
        <scheme val="minor"/>
      </rPr>
      <t xml:space="preserve">Biomass </t>
    </r>
    <r>
      <rPr>
        <b/>
        <sz val="11"/>
        <color theme="1"/>
        <rFont val="Calibri"/>
        <family val="2"/>
        <scheme val="minor"/>
      </rPr>
      <t>Portfolio overview</t>
    </r>
  </si>
  <si>
    <t>Major items replacement reserve</t>
  </si>
  <si>
    <t>All share capital to be repaid by end of term?</t>
  </si>
  <si>
    <t>Fuel cost (pellet)</t>
  </si>
  <si>
    <t>Biomass heat sale price</t>
  </si>
  <si>
    <t>Biomass fuel sale price</t>
  </si>
  <si>
    <t xml:space="preserve">Discount to local user </t>
  </si>
  <si>
    <t>year 1</t>
  </si>
  <si>
    <t>Local sales price - fossil price linked</t>
  </si>
  <si>
    <t>Fuel cost price fossil price linked</t>
  </si>
  <si>
    <t>Adjusted fuel cost price</t>
  </si>
  <si>
    <t>Share capital</t>
  </si>
  <si>
    <t>Capital repayments during term</t>
  </si>
  <si>
    <t>/yr</t>
  </si>
  <si>
    <t>None payable because total CBS RV under £12,000, and 100% business rate relief continues.</t>
  </si>
  <si>
    <t>Fossil  price  inflation</t>
  </si>
  <si>
    <t>Installed  cost</t>
  </si>
  <si>
    <t>A. Key Variables</t>
  </si>
  <si>
    <t>years</t>
  </si>
  <si>
    <t xml:space="preserve">£ p kWh </t>
  </si>
  <si>
    <t>Proportion of shares repaid each year (from year repayments commence)</t>
  </si>
  <si>
    <t>Proportion of net profit after tax to community pot</t>
  </si>
  <si>
    <t>B. Other input data</t>
  </si>
  <si>
    <t>1. Pre-development and commissioning costs</t>
  </si>
  <si>
    <t>Total predevelopment costs</t>
  </si>
  <si>
    <t>4. Operating costs</t>
  </si>
  <si>
    <t>6. Generation and sales</t>
  </si>
  <si>
    <t>6. Tax and rates</t>
  </si>
  <si>
    <t>Annual Write Down Capital Allowance (% of previous year)</t>
  </si>
  <si>
    <t xml:space="preserve">Term </t>
  </si>
  <si>
    <t>RHI rate (year 1)</t>
  </si>
  <si>
    <t>of original capital after first few years.</t>
  </si>
  <si>
    <t>no community pot.</t>
  </si>
  <si>
    <t>2. Installation costs</t>
  </si>
  <si>
    <t>kWh Year 1</t>
  </si>
  <si>
    <t>Expected net supplied heat</t>
  </si>
  <si>
    <t>RHI payable</t>
  </si>
  <si>
    <t>100% SBRR</t>
  </si>
  <si>
    <t>installed cost</t>
  </si>
  <si>
    <t>Pump replacement reserve</t>
  </si>
  <si>
    <t>Pumps replaced at this interval:</t>
  </si>
  <si>
    <t>Pump replacement cost</t>
  </si>
  <si>
    <t>Number of pumps</t>
  </si>
  <si>
    <t>£/pump</t>
  </si>
  <si>
    <t>Thurlestone biomass portfolio</t>
  </si>
  <si>
    <r>
      <t>To see the figures for only one network, make those for the other network zero, in the blue</t>
    </r>
    <r>
      <rPr>
        <i/>
        <sz val="11"/>
        <color theme="1"/>
        <rFont val="Calibri"/>
        <family val="2"/>
        <scheme val="minor"/>
      </rPr>
      <t xml:space="preserve"> Inputs from Tech analysis</t>
    </r>
    <r>
      <rPr>
        <sz val="11"/>
        <color theme="1"/>
        <rFont val="Calibri"/>
        <family val="2"/>
        <scheme val="minor"/>
      </rPr>
      <t xml:space="preserve"> tab.</t>
    </r>
  </si>
  <si>
    <r>
      <t>Other figures which can be changed appear in the</t>
    </r>
    <r>
      <rPr>
        <i/>
        <sz val="11"/>
        <color theme="1"/>
        <rFont val="Calibri"/>
        <family val="2"/>
        <scheme val="minor"/>
      </rPr>
      <t xml:space="preserve"> </t>
    </r>
    <r>
      <rPr>
        <sz val="12"/>
        <color theme="1"/>
        <rFont val="Calibri"/>
        <family val="2"/>
        <scheme val="minor"/>
      </rPr>
      <t>yellow</t>
    </r>
    <r>
      <rPr>
        <i/>
        <sz val="11"/>
        <color theme="1"/>
        <rFont val="Calibri"/>
        <family val="2"/>
        <scheme val="minor"/>
      </rPr>
      <t xml:space="preserve"> Profit and Loss</t>
    </r>
    <r>
      <rPr>
        <sz val="12"/>
        <color theme="1"/>
        <rFont val="Calibri"/>
        <family val="2"/>
        <scheme val="minor"/>
      </rPr>
      <t xml:space="preserve"> tab.</t>
    </r>
  </si>
  <si>
    <t>£/kWth/year</t>
  </si>
  <si>
    <t>kWth</t>
  </si>
  <si>
    <t>Boiler size</t>
  </si>
  <si>
    <t>Pump eplacement provision annual.</t>
  </si>
  <si>
    <t>The southern site is the church and church meeting rooms.</t>
  </si>
  <si>
    <t>£/kWth/year 1</t>
  </si>
  <si>
    <t>This workbook is protected, so you can only make changes to orange cells.  If other cells need changing, please contact:</t>
  </si>
  <si>
    <t>The northern site is the parish hall and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</si>
</sst>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8" formatCode="&quot;£&quot;#,##0.00;[Red]\-&quot;£&quot;#,##0.00"/>
    <numFmt numFmtId="43" formatCode="_-* #,##0.00_-;\-* #,##0.00_-;_-* &quot;-&quot;??_-;_-@_-"/>
    <numFmt numFmtId="164" formatCode="0.0%"/>
    <numFmt numFmtId="165" formatCode="&quot;£&quot;#,##0"/>
    <numFmt numFmtId="166" formatCode="\ #,###,"/>
    <numFmt numFmtId="167" formatCode="mmmm"/>
    <numFmt numFmtId="168" formatCode="_-* #,##0_-;\-* #,##0_-;_-* &quot;-&quot;??_-;_-@_-"/>
    <numFmt numFmtId="169" formatCode="#,##0.0000"/>
    <numFmt numFmtId="170" formatCode="_-* #,##0.000_-;\-* #,##0.000_-;_-* &quot;-&quot;??_-;_-@_-"/>
    <numFmt numFmtId="171" formatCode="#,##0.000"/>
    <numFmt numFmtId="172" formatCode="#,##0_ ;[Red]\-#,##0\ "/>
    <numFmt numFmtId="173" formatCode="_(* #,##0.00_);_(* \(#,##0.00\);_(* &quot;-&quot;??_);_(@_)"/>
    <numFmt numFmtId="174" formatCode="_(&quot;$&quot;* #,##0.00_);_(&quot;$&quot;* \(#,##0.00\);_(&quot;$&quot;* &quot;-&quot;??_);_(@_)"/>
    <numFmt numFmtId="175" formatCode="dd\ mmm\ yyyy_);;&quot;-  &quot;;&quot; &quot;@"/>
    <numFmt numFmtId="176" formatCode="dd\ mmm\ yy_);;&quot;-  &quot;;&quot; &quot;@"/>
    <numFmt numFmtId="177" formatCode="#,##0.0000_);\(#,##0.0000\);&quot;-  &quot;;&quot; &quot;@"/>
    <numFmt numFmtId="178" formatCode="#,##0_);\(#,##0\);&quot;-  &quot;;&quot; &quot;@"/>
    <numFmt numFmtId="179" formatCode="0.0"/>
  </numFmts>
  <fonts count="3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8"/>
      <color theme="10"/>
      <name val="Arial"/>
      <family val="2"/>
    </font>
    <font>
      <sz val="8"/>
      <name val="Arial"/>
      <family val="2"/>
    </font>
    <font>
      <sz val="11"/>
      <name val="Arial"/>
      <family val="2"/>
    </font>
    <font>
      <sz val="11"/>
      <name val="Calibri"/>
      <family val="2"/>
      <scheme val="minor"/>
    </font>
    <font>
      <sz val="10"/>
      <name val="Arial"/>
      <family val="2"/>
    </font>
    <font>
      <b/>
      <sz val="8"/>
      <name val="Arial"/>
      <family val="2"/>
    </font>
    <font>
      <sz val="8"/>
      <color theme="1"/>
      <name val="Arial"/>
      <family val="2"/>
    </font>
    <font>
      <b/>
      <sz val="10"/>
      <color indexed="18"/>
      <name val="Arial"/>
      <family val="2"/>
    </font>
    <font>
      <b/>
      <sz val="8"/>
      <color theme="1"/>
      <name val="Arial"/>
      <family val="2"/>
    </font>
    <font>
      <sz val="8"/>
      <color indexed="8"/>
      <name val="Arial"/>
      <family val="2"/>
    </font>
    <font>
      <i/>
      <sz val="8"/>
      <name val="Arial"/>
      <family val="2"/>
    </font>
    <font>
      <sz val="12"/>
      <color theme="1"/>
      <name val="Calibri"/>
      <family val="2"/>
      <charset val="129"/>
      <scheme val="minor"/>
    </font>
    <font>
      <sz val="8"/>
      <color theme="1"/>
      <name val="Calibri"/>
      <family val="2"/>
      <scheme val="minor"/>
    </font>
    <font>
      <b/>
      <sz val="10"/>
      <name val="Arial"/>
      <family val="2"/>
    </font>
    <font>
      <sz val="11"/>
      <color indexed="8"/>
      <name val="Arial"/>
      <family val="2"/>
    </font>
    <font>
      <sz val="11"/>
      <color indexed="8"/>
      <name val="Calibri"/>
      <family val="2"/>
    </font>
    <font>
      <sz val="12"/>
      <color theme="1"/>
      <name val="Calibri"/>
      <family val="2"/>
      <scheme val="minor"/>
    </font>
    <font>
      <sz val="12"/>
      <name val="Arial"/>
      <family val="2"/>
    </font>
    <font>
      <b/>
      <sz val="12"/>
      <name val="Arial"/>
      <family val="2"/>
    </font>
    <font>
      <sz val="12"/>
      <color theme="1"/>
      <name val="Arial"/>
      <family val="2"/>
    </font>
    <font>
      <sz val="11"/>
      <color theme="1"/>
      <name val="Arial"/>
      <family val="2"/>
    </font>
    <font>
      <b/>
      <sz val="10"/>
      <color theme="1"/>
      <name val="Calibri"/>
      <family val="2"/>
      <scheme val="minor"/>
    </font>
  </fonts>
  <fills count="24">
    <fill>
      <patternFill patternType="none"/>
    </fill>
    <fill>
      <patternFill patternType="gray125"/>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C00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00B0F0"/>
        <bgColor indexed="64"/>
      </patternFill>
    </fill>
    <fill>
      <patternFill patternType="solid">
        <fgColor theme="9" tint="0.79998168889431442"/>
        <bgColor indexed="64"/>
      </patternFill>
    </fill>
    <fill>
      <patternFill patternType="lightUp">
        <bgColor indexed="22"/>
      </patternFill>
    </fill>
    <fill>
      <patternFill patternType="solid">
        <fgColor theme="9"/>
        <bgColor indexed="64"/>
      </patternFill>
    </fill>
    <fill>
      <patternFill patternType="solid">
        <fgColor rgb="FFFFFF00"/>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4">
    <xf numFmtId="0" fontId="0" fillId="0" borderId="0"/>
    <xf numFmtId="43" fontId="24" fillId="0" borderId="0" applyFont="0" applyFill="0" applyBorder="0" applyAlignment="0" applyProtection="0"/>
    <xf numFmtId="9" fontId="24" fillId="0" borderId="0" applyFont="0" applyFill="0" applyBorder="0" applyAlignment="0" applyProtection="0"/>
    <xf numFmtId="0" fontId="10" fillId="2" borderId="1" applyNumberFormat="0" applyAlignment="0" applyProtection="0"/>
    <xf numFmtId="0" fontId="9" fillId="0" borderId="0"/>
    <xf numFmtId="0" fontId="13" fillId="0" borderId="0" applyNumberFormat="0" applyFill="0" applyBorder="0" applyAlignment="0" applyProtection="0">
      <alignment vertical="top"/>
      <protection locked="0"/>
    </xf>
    <xf numFmtId="0" fontId="14" fillId="0" borderId="0"/>
    <xf numFmtId="9" fontId="9"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43" fontId="14" fillId="0" borderId="0" applyFont="0" applyFill="0" applyBorder="0" applyAlignment="0" applyProtection="0"/>
    <xf numFmtId="0" fontId="8" fillId="0" borderId="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173" fontId="27" fillId="0" borderId="0" applyFont="0" applyFill="0" applyBorder="0" applyAlignment="0" applyProtection="0"/>
    <xf numFmtId="43" fontId="14" fillId="0" borderId="0" applyFont="0" applyFill="0" applyBorder="0" applyAlignment="0" applyProtection="0"/>
    <xf numFmtId="17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5" fontId="8" fillId="0" borderId="0" applyFont="0" applyFill="0" applyBorder="0" applyProtection="0">
      <alignment vertical="top"/>
    </xf>
    <xf numFmtId="175" fontId="8" fillId="0" borderId="0" applyFont="0" applyFill="0" applyBorder="0" applyProtection="0">
      <alignment vertical="top"/>
    </xf>
    <xf numFmtId="176" fontId="8" fillId="0" borderId="0" applyFont="0" applyFill="0" applyBorder="0" applyProtection="0">
      <alignment vertical="top"/>
    </xf>
    <xf numFmtId="176" fontId="8" fillId="0" borderId="0" applyFont="0" applyFill="0" applyBorder="0" applyProtection="0">
      <alignment vertical="top"/>
    </xf>
    <xf numFmtId="0" fontId="28" fillId="0" borderId="0"/>
    <xf numFmtId="177" fontId="8" fillId="0" borderId="0" applyFont="0" applyFill="0" applyBorder="0" applyProtection="0">
      <alignment vertical="top"/>
    </xf>
    <xf numFmtId="177" fontId="8" fillId="0" borderId="0" applyFont="0" applyFill="0" applyBorder="0" applyProtection="0">
      <alignment vertical="top"/>
    </xf>
    <xf numFmtId="0" fontId="17" fillId="0" borderId="0"/>
    <xf numFmtId="0" fontId="17" fillId="0" borderId="0"/>
    <xf numFmtId="178" fontId="8" fillId="0" borderId="0" applyFont="0" applyFill="0" applyBorder="0" applyProtection="0">
      <alignment vertical="top"/>
    </xf>
    <xf numFmtId="178" fontId="8" fillId="0" borderId="0" applyFont="0" applyFill="0" applyBorder="0" applyProtection="0">
      <alignment vertical="top"/>
    </xf>
    <xf numFmtId="0" fontId="17" fillId="0" borderId="0"/>
    <xf numFmtId="0" fontId="17" fillId="0" borderId="0"/>
    <xf numFmtId="0" fontId="27" fillId="0" borderId="0"/>
    <xf numFmtId="0" fontId="17" fillId="0" borderId="0"/>
    <xf numFmtId="0" fontId="8" fillId="0" borderId="0"/>
    <xf numFmtId="0" fontId="8" fillId="3" borderId="2" applyNumberFormat="0" applyFont="0" applyAlignment="0" applyProtection="0"/>
    <xf numFmtId="0" fontId="8" fillId="3" borderId="2" applyNumberFormat="0" applyFont="0" applyAlignment="0" applyProtection="0"/>
    <xf numFmtId="9" fontId="27" fillId="0" borderId="0" applyFont="0" applyFill="0" applyBorder="0" applyAlignment="0" applyProtection="0"/>
    <xf numFmtId="9" fontId="8" fillId="0" borderId="0" applyFont="0" applyFill="0" applyBorder="0" applyAlignment="0" applyProtection="0"/>
    <xf numFmtId="0" fontId="5" fillId="0" borderId="0"/>
    <xf numFmtId="43" fontId="5" fillId="0" borderId="0" applyFont="0" applyFill="0" applyBorder="0" applyAlignment="0" applyProtection="0"/>
  </cellStyleXfs>
  <cellXfs count="327">
    <xf numFmtId="0" fontId="0" fillId="0" borderId="0" xfId="0"/>
    <xf numFmtId="0" fontId="11" fillId="0" borderId="0" xfId="4" applyFont="1"/>
    <xf numFmtId="0" fontId="9" fillId="0" borderId="0" xfId="4"/>
    <xf numFmtId="0" fontId="9" fillId="0" borderId="0" xfId="4" applyAlignment="1">
      <alignment vertical="top"/>
    </xf>
    <xf numFmtId="0" fontId="9" fillId="0" borderId="0" xfId="4" applyAlignment="1">
      <alignment wrapText="1"/>
    </xf>
    <xf numFmtId="0" fontId="15" fillId="0" borderId="0" xfId="6" applyFont="1" applyAlignment="1">
      <alignment horizontal="center" vertical="top"/>
    </xf>
    <xf numFmtId="0" fontId="9" fillId="0" borderId="0" xfId="4" applyBorder="1" applyAlignment="1">
      <alignment vertical="top"/>
    </xf>
    <xf numFmtId="0" fontId="9" fillId="0" borderId="0" xfId="4" applyFill="1" applyAlignment="1">
      <alignment vertical="top"/>
    </xf>
    <xf numFmtId="1" fontId="16" fillId="0" borderId="0" xfId="6" applyNumberFormat="1" applyFont="1" applyFill="1" applyBorder="1" applyAlignment="1" applyProtection="1">
      <alignment vertical="top"/>
      <protection locked="0"/>
    </xf>
    <xf numFmtId="0" fontId="14" fillId="0" borderId="0" xfId="6" applyBorder="1" applyAlignment="1">
      <alignment vertical="top"/>
    </xf>
    <xf numFmtId="164" fontId="16" fillId="16" borderId="0" xfId="6" applyNumberFormat="1" applyFont="1" applyFill="1" applyBorder="1" applyAlignment="1" applyProtection="1">
      <alignment vertical="top"/>
      <protection locked="0"/>
    </xf>
    <xf numFmtId="0" fontId="9" fillId="0" borderId="0" xfId="4" applyFont="1" applyBorder="1" applyAlignment="1">
      <alignment vertical="top"/>
    </xf>
    <xf numFmtId="0" fontId="9" fillId="0" borderId="0" xfId="4" applyAlignment="1">
      <alignment vertical="top" wrapText="1"/>
    </xf>
    <xf numFmtId="0" fontId="18" fillId="0" borderId="0" xfId="6" applyFont="1" applyAlignment="1" applyProtection="1">
      <alignment vertical="top"/>
    </xf>
    <xf numFmtId="0" fontId="14" fillId="0" borderId="0" xfId="6" applyAlignment="1" applyProtection="1">
      <alignment vertical="top"/>
    </xf>
    <xf numFmtId="0" fontId="19" fillId="0" borderId="0" xfId="4" applyFont="1"/>
    <xf numFmtId="0" fontId="14" fillId="0" borderId="0" xfId="6" applyFont="1" applyFill="1" applyBorder="1" applyAlignment="1" applyProtection="1">
      <alignment horizontal="left" vertical="top" indent="1"/>
    </xf>
    <xf numFmtId="0" fontId="18" fillId="0" borderId="0" xfId="6" applyFont="1" applyFill="1" applyBorder="1" applyAlignment="1" applyProtection="1">
      <alignment vertical="top"/>
    </xf>
    <xf numFmtId="0" fontId="18" fillId="0" borderId="0" xfId="6" applyFont="1" applyFill="1" applyBorder="1" applyAlignment="1" applyProtection="1"/>
    <xf numFmtId="0" fontId="19" fillId="0" borderId="0" xfId="4" applyFont="1" applyAlignment="1"/>
    <xf numFmtId="0" fontId="18" fillId="0" borderId="0" xfId="6" applyFont="1" applyBorder="1" applyAlignment="1" applyProtection="1">
      <alignment vertical="top"/>
    </xf>
    <xf numFmtId="0" fontId="14" fillId="0" borderId="0" xfId="6" applyFont="1" applyBorder="1" applyAlignment="1" applyProtection="1">
      <alignment vertical="top"/>
    </xf>
    <xf numFmtId="0" fontId="14" fillId="0" borderId="0" xfId="6" applyFont="1" applyAlignment="1" applyProtection="1">
      <alignment vertical="top"/>
    </xf>
    <xf numFmtId="0" fontId="17" fillId="0" borderId="0" xfId="6" applyFont="1" applyBorder="1" applyAlignment="1" applyProtection="1">
      <alignment vertical="top" wrapText="1"/>
    </xf>
    <xf numFmtId="0" fontId="14" fillId="0" borderId="0" xfId="6" applyBorder="1" applyAlignment="1" applyProtection="1">
      <alignment vertical="top"/>
    </xf>
    <xf numFmtId="0" fontId="14" fillId="0" borderId="0" xfId="6" applyFill="1" applyBorder="1" applyAlignment="1" applyProtection="1">
      <alignment vertical="top"/>
    </xf>
    <xf numFmtId="0" fontId="20" fillId="0" borderId="0" xfId="6" applyFont="1" applyFill="1" applyBorder="1" applyAlignment="1" applyProtection="1">
      <alignment vertical="top" wrapText="1"/>
    </xf>
    <xf numFmtId="0" fontId="18" fillId="0" borderId="0" xfId="6" applyFont="1" applyBorder="1" applyAlignment="1" applyProtection="1">
      <alignment horizontal="right" vertical="top" wrapText="1"/>
    </xf>
    <xf numFmtId="0" fontId="21" fillId="17" borderId="0" xfId="6" applyFont="1" applyFill="1" applyBorder="1" applyAlignment="1" applyProtection="1">
      <alignment horizontal="left" vertical="top"/>
    </xf>
    <xf numFmtId="0" fontId="19" fillId="17" borderId="0" xfId="6" applyFont="1" applyFill="1" applyBorder="1" applyAlignment="1" applyProtection="1">
      <alignment vertical="top"/>
    </xf>
    <xf numFmtId="0" fontId="19" fillId="0" borderId="0" xfId="6" applyFont="1" applyFill="1" applyBorder="1" applyAlignment="1" applyProtection="1">
      <alignment vertical="top"/>
    </xf>
    <xf numFmtId="0" fontId="21" fillId="16" borderId="0" xfId="6" applyFont="1" applyFill="1" applyBorder="1" applyAlignment="1" applyProtection="1">
      <alignment horizontal="left" vertical="top"/>
    </xf>
    <xf numFmtId="0" fontId="21" fillId="16" borderId="0" xfId="6" applyFont="1" applyFill="1" applyBorder="1" applyAlignment="1" applyProtection="1">
      <alignment horizontal="right" vertical="top" wrapText="1"/>
    </xf>
    <xf numFmtId="0" fontId="19" fillId="0" borderId="0" xfId="6" applyFont="1" applyBorder="1" applyAlignment="1" applyProtection="1">
      <alignment vertical="top"/>
    </xf>
    <xf numFmtId="0" fontId="21" fillId="18" borderId="0" xfId="6" applyFont="1" applyFill="1" applyBorder="1" applyAlignment="1" applyProtection="1">
      <alignment horizontal="left" vertical="top"/>
    </xf>
    <xf numFmtId="0" fontId="19" fillId="18" borderId="0" xfId="6" applyFont="1" applyFill="1" applyBorder="1" applyAlignment="1" applyProtection="1">
      <alignment vertical="top"/>
    </xf>
    <xf numFmtId="0" fontId="21" fillId="19" borderId="0" xfId="6" applyFont="1" applyFill="1" applyBorder="1" applyAlignment="1" applyProtection="1">
      <alignment horizontal="left" vertical="top"/>
    </xf>
    <xf numFmtId="0" fontId="21" fillId="19" borderId="0" xfId="6" applyFont="1" applyFill="1" applyBorder="1" applyAlignment="1" applyProtection="1">
      <alignment horizontal="left" vertical="top" wrapText="1"/>
    </xf>
    <xf numFmtId="0" fontId="21" fillId="19" borderId="0" xfId="6" applyFont="1" applyFill="1" applyBorder="1" applyAlignment="1" applyProtection="1">
      <alignment vertical="top" wrapText="1"/>
    </xf>
    <xf numFmtId="0" fontId="19" fillId="19" borderId="0" xfId="6" applyFont="1" applyFill="1" applyBorder="1" applyAlignment="1" applyProtection="1">
      <alignment vertical="top"/>
    </xf>
    <xf numFmtId="0" fontId="22" fillId="0" borderId="0" xfId="6" applyFont="1" applyFill="1" applyBorder="1" applyAlignment="1" applyProtection="1">
      <alignment vertical="top"/>
    </xf>
    <xf numFmtId="0" fontId="18" fillId="0" borderId="0" xfId="6" applyFont="1" applyFill="1" applyBorder="1" applyAlignment="1" applyProtection="1">
      <alignment horizontal="right" vertical="top"/>
    </xf>
    <xf numFmtId="0" fontId="14" fillId="0" borderId="0" xfId="6" applyAlignment="1" applyProtection="1">
      <alignment vertical="top" wrapText="1"/>
    </xf>
    <xf numFmtId="0" fontId="22" fillId="0" borderId="0" xfId="6" applyFont="1" applyFill="1" applyBorder="1" applyAlignment="1" applyProtection="1">
      <alignment horizontal="left" vertical="top"/>
    </xf>
    <xf numFmtId="0" fontId="18" fillId="0" borderId="0" xfId="6" applyFont="1" applyBorder="1" applyAlignment="1" applyProtection="1">
      <alignment horizontal="center" vertical="top"/>
    </xf>
    <xf numFmtId="0" fontId="14" fillId="0" borderId="0" xfId="6" applyFont="1" applyAlignment="1" applyProtection="1">
      <alignment horizontal="center" vertical="top"/>
    </xf>
    <xf numFmtId="0" fontId="14" fillId="0" borderId="0" xfId="6" applyFont="1" applyFill="1" applyBorder="1" applyAlignment="1" applyProtection="1">
      <alignment horizontal="right" vertical="top" wrapText="1"/>
    </xf>
    <xf numFmtId="0" fontId="14" fillId="0" borderId="0" xfId="6" applyFont="1" applyFill="1" applyBorder="1" applyAlignment="1" applyProtection="1">
      <alignment horizontal="center" vertical="top" wrapText="1"/>
    </xf>
    <xf numFmtId="0" fontId="14" fillId="0" borderId="0" xfId="6" applyNumberFormat="1" applyFont="1" applyFill="1" applyBorder="1" applyAlignment="1" applyProtection="1">
      <alignment horizontal="center" vertical="top" wrapText="1"/>
    </xf>
    <xf numFmtId="167" fontId="18" fillId="0" borderId="0" xfId="6" applyNumberFormat="1" applyFont="1" applyFill="1" applyBorder="1" applyAlignment="1" applyProtection="1">
      <alignment horizontal="center" vertical="top" wrapText="1"/>
    </xf>
    <xf numFmtId="0" fontId="18" fillId="0" borderId="0" xfId="6" applyFont="1" applyFill="1" applyBorder="1" applyAlignment="1" applyProtection="1">
      <alignment vertical="top" wrapText="1"/>
    </xf>
    <xf numFmtId="3" fontId="14" fillId="0" borderId="0" xfId="6" applyNumberFormat="1" applyFont="1" applyBorder="1" applyAlignment="1" applyProtection="1">
      <alignment vertical="top"/>
    </xf>
    <xf numFmtId="3" fontId="14" fillId="0" borderId="0" xfId="6" applyNumberFormat="1" applyFont="1" applyFill="1" applyBorder="1" applyAlignment="1" applyProtection="1">
      <alignment vertical="top"/>
    </xf>
    <xf numFmtId="3" fontId="14" fillId="0" borderId="0" xfId="6" applyNumberFormat="1" applyFont="1" applyBorder="1" applyAlignment="1" applyProtection="1">
      <alignment horizontal="center" vertical="top"/>
    </xf>
    <xf numFmtId="3" fontId="18" fillId="0" borderId="0" xfId="6" applyNumberFormat="1" applyFont="1" applyBorder="1" applyAlignment="1" applyProtection="1">
      <alignment vertical="top"/>
    </xf>
    <xf numFmtId="0" fontId="14" fillId="0" borderId="0" xfId="6" applyFont="1" applyFill="1" applyBorder="1" applyAlignment="1" applyProtection="1">
      <alignment vertical="top"/>
    </xf>
    <xf numFmtId="3" fontId="18" fillId="0" borderId="0" xfId="6" applyNumberFormat="1" applyFont="1" applyFill="1" applyBorder="1" applyAlignment="1" applyProtection="1">
      <alignment vertical="top"/>
    </xf>
    <xf numFmtId="168" fontId="14" fillId="0" borderId="0" xfId="6" applyNumberFormat="1" applyFont="1" applyFill="1" applyBorder="1" applyAlignment="1" applyProtection="1">
      <alignment vertical="top"/>
    </xf>
    <xf numFmtId="9" fontId="14" fillId="0" borderId="0" xfId="8" applyFont="1" applyFill="1" applyBorder="1" applyAlignment="1" applyProtection="1">
      <alignment vertical="top"/>
    </xf>
    <xf numFmtId="3" fontId="21" fillId="0" borderId="0" xfId="6" applyNumberFormat="1" applyFont="1" applyFill="1" applyBorder="1" applyAlignment="1" applyProtection="1">
      <alignment vertical="top"/>
    </xf>
    <xf numFmtId="164" fontId="19" fillId="0" borderId="0" xfId="9" applyNumberFormat="1" applyFont="1" applyFill="1" applyBorder="1" applyAlignment="1" applyProtection="1">
      <alignment vertical="top"/>
    </xf>
    <xf numFmtId="3" fontId="19" fillId="0" borderId="0" xfId="6" applyNumberFormat="1" applyFont="1" applyBorder="1" applyAlignment="1" applyProtection="1">
      <alignment vertical="top"/>
    </xf>
    <xf numFmtId="0" fontId="14" fillId="0" borderId="0" xfId="6" applyNumberFormat="1" applyFont="1" applyFill="1" applyBorder="1" applyAlignment="1" applyProtection="1">
      <alignment vertical="top"/>
    </xf>
    <xf numFmtId="3" fontId="19" fillId="0" borderId="0" xfId="6" applyNumberFormat="1" applyFont="1" applyFill="1" applyBorder="1" applyAlignment="1" applyProtection="1">
      <alignment vertical="top"/>
    </xf>
    <xf numFmtId="164" fontId="14" fillId="0" borderId="0" xfId="9" applyNumberFormat="1" applyFont="1" applyFill="1" applyBorder="1" applyAlignment="1" applyProtection="1">
      <alignment vertical="top"/>
    </xf>
    <xf numFmtId="3" fontId="14" fillId="20" borderId="0" xfId="6" applyNumberFormat="1" applyFont="1" applyFill="1" applyBorder="1" applyAlignment="1" applyProtection="1">
      <alignment vertical="top"/>
    </xf>
    <xf numFmtId="6" fontId="14" fillId="0" borderId="0" xfId="6" applyNumberFormat="1" applyFont="1" applyFill="1" applyBorder="1" applyAlignment="1" applyProtection="1">
      <alignment vertical="top"/>
    </xf>
    <xf numFmtId="1" fontId="14" fillId="0" borderId="0" xfId="6" applyNumberFormat="1" applyFont="1" applyFill="1" applyBorder="1" applyAlignment="1" applyProtection="1">
      <alignment vertical="top"/>
    </xf>
    <xf numFmtId="1" fontId="14" fillId="0" borderId="0" xfId="9" applyNumberFormat="1" applyFont="1" applyFill="1" applyBorder="1" applyAlignment="1" applyProtection="1">
      <alignment vertical="top"/>
    </xf>
    <xf numFmtId="0" fontId="23" fillId="0" borderId="0" xfId="6" applyFont="1" applyFill="1" applyBorder="1" applyAlignment="1" applyProtection="1">
      <alignment vertical="top"/>
    </xf>
    <xf numFmtId="0" fontId="14" fillId="0" borderId="0" xfId="6" applyFill="1" applyAlignment="1" applyProtection="1">
      <alignment vertical="top"/>
    </xf>
    <xf numFmtId="1" fontId="14" fillId="0" borderId="0" xfId="6" applyNumberFormat="1" applyAlignment="1" applyProtection="1">
      <alignment vertical="top"/>
    </xf>
    <xf numFmtId="0" fontId="19" fillId="0" borderId="0" xfId="6" applyFont="1" applyBorder="1" applyAlignment="1" applyProtection="1">
      <alignment horizontal="center" vertical="top"/>
    </xf>
    <xf numFmtId="0" fontId="14" fillId="0" borderId="0" xfId="6" applyFont="1" applyFill="1" applyBorder="1" applyAlignment="1" applyProtection="1">
      <alignment horizontal="left" vertical="top"/>
    </xf>
    <xf numFmtId="164" fontId="14" fillId="0" borderId="0" xfId="6" applyNumberFormat="1" applyFont="1" applyFill="1" applyBorder="1" applyAlignment="1" applyProtection="1">
      <alignment vertical="top"/>
    </xf>
    <xf numFmtId="0" fontId="14" fillId="0" borderId="0" xfId="6" applyFont="1" applyBorder="1" applyAlignment="1" applyProtection="1">
      <alignment horizontal="left" vertical="top"/>
    </xf>
    <xf numFmtId="9" fontId="14" fillId="0" borderId="0" xfId="6" applyNumberFormat="1" applyFont="1" applyFill="1" applyBorder="1" applyAlignment="1" applyProtection="1">
      <alignment vertical="top"/>
    </xf>
    <xf numFmtId="4" fontId="14" fillId="0" borderId="0" xfId="6" applyNumberFormat="1" applyFont="1" applyFill="1" applyBorder="1" applyAlignment="1" applyProtection="1">
      <alignment vertical="top"/>
    </xf>
    <xf numFmtId="3" fontId="18" fillId="21" borderId="0" xfId="6" applyNumberFormat="1" applyFont="1" applyFill="1" applyBorder="1" applyAlignment="1" applyProtection="1">
      <alignment vertical="top"/>
    </xf>
    <xf numFmtId="169" fontId="14" fillId="18" borderId="0" xfId="6" applyNumberFormat="1" applyFont="1" applyFill="1" applyBorder="1" applyAlignment="1" applyProtection="1">
      <alignment vertical="top"/>
    </xf>
    <xf numFmtId="169" fontId="14" fillId="0" borderId="0" xfId="6" applyNumberFormat="1" applyFont="1" applyFill="1" applyBorder="1" applyAlignment="1" applyProtection="1">
      <alignment horizontal="right" vertical="top"/>
    </xf>
    <xf numFmtId="169" fontId="18" fillId="21" borderId="0" xfId="6" applyNumberFormat="1" applyFont="1" applyFill="1" applyBorder="1" applyAlignment="1" applyProtection="1">
      <alignment vertical="top"/>
    </xf>
    <xf numFmtId="170" fontId="14" fillId="20" borderId="0" xfId="6" applyNumberFormat="1" applyFill="1" applyAlignment="1" applyProtection="1">
      <alignment vertical="top"/>
    </xf>
    <xf numFmtId="170" fontId="19" fillId="0" borderId="0" xfId="10" applyNumberFormat="1" applyFont="1" applyFill="1" applyBorder="1" applyAlignment="1" applyProtection="1">
      <alignment vertical="top"/>
    </xf>
    <xf numFmtId="43" fontId="14" fillId="20" borderId="0" xfId="6" applyNumberFormat="1" applyFill="1" applyAlignment="1" applyProtection="1">
      <alignment vertical="top"/>
    </xf>
    <xf numFmtId="43" fontId="19" fillId="0" borderId="0" xfId="10" applyNumberFormat="1" applyFont="1" applyFill="1" applyBorder="1" applyAlignment="1" applyProtection="1">
      <alignment vertical="top"/>
    </xf>
    <xf numFmtId="0" fontId="18" fillId="0" borderId="0" xfId="6" applyFont="1" applyFill="1" applyBorder="1" applyAlignment="1" applyProtection="1">
      <alignment horizontal="left" vertical="top"/>
    </xf>
    <xf numFmtId="4" fontId="14" fillId="0" borderId="0" xfId="6" applyNumberFormat="1" applyFont="1" applyFill="1" applyBorder="1" applyAlignment="1" applyProtection="1">
      <alignment horizontal="right" vertical="top"/>
    </xf>
    <xf numFmtId="10" fontId="14" fillId="0" borderId="0" xfId="9" applyNumberFormat="1" applyFont="1" applyFill="1" applyBorder="1" applyAlignment="1" applyProtection="1">
      <alignment vertical="top"/>
    </xf>
    <xf numFmtId="10" fontId="19" fillId="18" borderId="0" xfId="9" applyNumberFormat="1" applyFont="1" applyFill="1" applyBorder="1" applyAlignment="1" applyProtection="1">
      <alignment vertical="top"/>
    </xf>
    <xf numFmtId="10" fontId="19" fillId="0" borderId="0" xfId="9" applyNumberFormat="1" applyFont="1" applyFill="1" applyBorder="1" applyAlignment="1" applyProtection="1">
      <alignment vertical="top"/>
    </xf>
    <xf numFmtId="0" fontId="14" fillId="0" borderId="0" xfId="6" applyFont="1" applyFill="1" applyBorder="1" applyAlignment="1" applyProtection="1"/>
    <xf numFmtId="10" fontId="19" fillId="0" borderId="0" xfId="9" applyNumberFormat="1" applyFont="1" applyFill="1" applyBorder="1" applyProtection="1"/>
    <xf numFmtId="0" fontId="14" fillId="0" borderId="0" xfId="6" applyBorder="1" applyAlignment="1" applyProtection="1">
      <alignment vertical="top" wrapText="1"/>
    </xf>
    <xf numFmtId="164" fontId="19" fillId="0" borderId="0" xfId="9" applyNumberFormat="1" applyFont="1" applyFill="1" applyBorder="1" applyProtection="1"/>
    <xf numFmtId="164" fontId="14" fillId="0" borderId="0" xfId="9" applyNumberFormat="1" applyFont="1" applyFill="1" applyBorder="1" applyAlignment="1" applyProtection="1">
      <alignment vertical="top" wrapText="1"/>
    </xf>
    <xf numFmtId="3" fontId="18" fillId="20" borderId="0" xfId="6" applyNumberFormat="1" applyFont="1" applyFill="1" applyBorder="1" applyAlignment="1" applyProtection="1">
      <alignment vertical="top"/>
    </xf>
    <xf numFmtId="0" fontId="14" fillId="0" borderId="0" xfId="6" applyFont="1" applyBorder="1" applyAlignment="1" applyProtection="1">
      <alignment horizontal="left" vertical="top" wrapText="1" indent="2"/>
    </xf>
    <xf numFmtId="0" fontId="14" fillId="0" borderId="0" xfId="6" applyFont="1" applyBorder="1" applyAlignment="1" applyProtection="1">
      <alignment vertical="top" wrapText="1"/>
    </xf>
    <xf numFmtId="0" fontId="14" fillId="0" borderId="0" xfId="6" applyProtection="1"/>
    <xf numFmtId="0" fontId="14" fillId="0" borderId="0" xfId="6" applyBorder="1" applyProtection="1"/>
    <xf numFmtId="43" fontId="14" fillId="20" borderId="0" xfId="6" applyNumberFormat="1" applyFill="1" applyAlignment="1" applyProtection="1">
      <alignment horizontal="left" vertical="top"/>
    </xf>
    <xf numFmtId="43" fontId="19" fillId="0" borderId="0" xfId="10" applyNumberFormat="1" applyFont="1" applyFill="1" applyBorder="1" applyAlignment="1" applyProtection="1">
      <alignment horizontal="left" vertical="top"/>
    </xf>
    <xf numFmtId="0" fontId="14" fillId="0" borderId="0" xfId="6" applyFont="1" applyProtection="1"/>
    <xf numFmtId="168" fontId="18" fillId="0" borderId="0" xfId="6" applyNumberFormat="1" applyFont="1" applyFill="1" applyBorder="1" applyAlignment="1" applyProtection="1">
      <alignment vertical="top"/>
    </xf>
    <xf numFmtId="168" fontId="19" fillId="0" borderId="0" xfId="10" applyNumberFormat="1" applyFont="1" applyFill="1" applyBorder="1" applyAlignment="1" applyProtection="1">
      <alignment vertical="top"/>
    </xf>
    <xf numFmtId="0" fontId="14" fillId="0" borderId="0" xfId="6" applyFont="1" applyFill="1" applyBorder="1" applyAlignment="1" applyProtection="1">
      <alignment horizontal="left" vertical="top" wrapText="1" indent="1"/>
    </xf>
    <xf numFmtId="0" fontId="14" fillId="0" borderId="0" xfId="6" applyFill="1" applyAlignment="1" applyProtection="1">
      <alignment vertical="top" wrapText="1"/>
    </xf>
    <xf numFmtId="0" fontId="14" fillId="0" borderId="0" xfId="6" applyFont="1" applyFill="1" applyAlignment="1" applyProtection="1">
      <alignment vertical="top"/>
    </xf>
    <xf numFmtId="164" fontId="14" fillId="0" borderId="0" xfId="6" applyNumberFormat="1" applyFont="1" applyFill="1" applyBorder="1" applyAlignment="1" applyProtection="1">
      <alignment horizontal="left" vertical="top"/>
    </xf>
    <xf numFmtId="0" fontId="18" fillId="0" borderId="0" xfId="6" applyFont="1" applyFill="1" applyAlignment="1" applyProtection="1">
      <alignment vertical="top"/>
    </xf>
    <xf numFmtId="0" fontId="14" fillId="0" borderId="0" xfId="6" applyFont="1" applyFill="1" applyAlignment="1" applyProtection="1">
      <alignment horizontal="left" vertical="top"/>
    </xf>
    <xf numFmtId="0" fontId="14" fillId="0" borderId="0" xfId="6" applyFont="1" applyFill="1" applyBorder="1" applyAlignment="1" applyProtection="1">
      <alignment vertical="top" wrapText="1"/>
    </xf>
    <xf numFmtId="168" fontId="14" fillId="0" borderId="0" xfId="6" applyNumberFormat="1" applyFont="1" applyFill="1" applyBorder="1" applyAlignment="1" applyProtection="1">
      <alignment horizontal="center" vertical="top"/>
    </xf>
    <xf numFmtId="0" fontId="14" fillId="0" borderId="0" xfId="6" applyFont="1" applyFill="1" applyBorder="1" applyAlignment="1" applyProtection="1">
      <alignment horizontal="center" vertical="top"/>
    </xf>
    <xf numFmtId="0" fontId="18" fillId="0" borderId="0" xfId="6" applyFont="1" applyFill="1" applyBorder="1" applyAlignment="1" applyProtection="1">
      <alignment horizontal="center" vertical="top"/>
    </xf>
    <xf numFmtId="168" fontId="18" fillId="0" borderId="0" xfId="6" applyNumberFormat="1" applyFont="1" applyFill="1" applyBorder="1" applyAlignment="1" applyProtection="1">
      <alignment horizontal="center" vertical="top"/>
    </xf>
    <xf numFmtId="164" fontId="14" fillId="0" borderId="0" xfId="6" applyNumberFormat="1" applyFont="1" applyFill="1" applyBorder="1" applyAlignment="1" applyProtection="1">
      <alignment horizontal="center" vertical="top"/>
    </xf>
    <xf numFmtId="0" fontId="14" fillId="0" borderId="0" xfId="6" applyFont="1" applyFill="1" applyAlignment="1" applyProtection="1">
      <alignment horizontal="center" vertical="top"/>
    </xf>
    <xf numFmtId="6" fontId="19" fillId="0" borderId="0" xfId="9" applyNumberFormat="1" applyFont="1" applyFill="1" applyBorder="1" applyAlignment="1" applyProtection="1">
      <alignment vertical="top"/>
    </xf>
    <xf numFmtId="0" fontId="14" fillId="0" borderId="0" xfId="6" applyFill="1" applyBorder="1" applyAlignment="1" applyProtection="1">
      <alignment horizontal="left" vertical="top"/>
    </xf>
    <xf numFmtId="3" fontId="14" fillId="0" borderId="0" xfId="6" applyNumberFormat="1" applyFill="1" applyAlignment="1" applyProtection="1">
      <alignment horizontal="right" vertical="top"/>
    </xf>
    <xf numFmtId="3" fontId="14" fillId="0" borderId="0" xfId="6" applyNumberFormat="1" applyFont="1" applyFill="1" applyAlignment="1" applyProtection="1">
      <alignment horizontal="left" vertical="top"/>
    </xf>
    <xf numFmtId="0" fontId="14" fillId="0" borderId="0" xfId="6" applyNumberFormat="1" applyFont="1" applyFill="1" applyBorder="1" applyAlignment="1" applyProtection="1">
      <alignment horizontal="left" vertical="top"/>
    </xf>
    <xf numFmtId="0" fontId="18" fillId="0" borderId="0" xfId="6" applyFont="1" applyFill="1" applyAlignment="1" applyProtection="1">
      <alignment horizontal="left" vertical="top"/>
    </xf>
    <xf numFmtId="3" fontId="14" fillId="0" borderId="0" xfId="6" applyNumberFormat="1" applyFont="1" applyFill="1" applyAlignment="1" applyProtection="1">
      <alignment horizontal="right" vertical="top"/>
    </xf>
    <xf numFmtId="3" fontId="14" fillId="0" borderId="0" xfId="6" applyNumberFormat="1" applyAlignment="1" applyProtection="1">
      <alignment horizontal="left" vertical="top"/>
    </xf>
    <xf numFmtId="3" fontId="14" fillId="0" borderId="0" xfId="6" applyNumberFormat="1" applyAlignment="1" applyProtection="1">
      <alignment vertical="top"/>
    </xf>
    <xf numFmtId="0" fontId="8" fillId="0" borderId="0" xfId="11" applyProtection="1"/>
    <xf numFmtId="0" fontId="14" fillId="0" borderId="0" xfId="11" applyFont="1" applyProtection="1"/>
    <xf numFmtId="0" fontId="25" fillId="0" borderId="0" xfId="11" applyFont="1" applyProtection="1"/>
    <xf numFmtId="164" fontId="0" fillId="0" borderId="0" xfId="9" applyNumberFormat="1" applyFont="1" applyFill="1" applyBorder="1" applyAlignment="1" applyProtection="1">
      <alignment vertical="top"/>
    </xf>
    <xf numFmtId="3" fontId="14" fillId="0" borderId="0" xfId="6" applyNumberFormat="1" applyFill="1" applyBorder="1" applyAlignment="1" applyProtection="1">
      <alignment vertical="top"/>
    </xf>
    <xf numFmtId="0" fontId="14" fillId="0" borderId="0" xfId="3" applyFont="1" applyFill="1" applyBorder="1" applyAlignment="1" applyProtection="1">
      <alignment vertical="top" wrapText="1"/>
    </xf>
    <xf numFmtId="0" fontId="14" fillId="0" borderId="0" xfId="6" applyNumberFormat="1" applyFill="1" applyBorder="1" applyAlignment="1" applyProtection="1">
      <alignment vertical="top"/>
    </xf>
    <xf numFmtId="164" fontId="14" fillId="0" borderId="0" xfId="6" applyNumberFormat="1" applyFill="1" applyBorder="1" applyAlignment="1" applyProtection="1">
      <alignment vertical="top"/>
    </xf>
    <xf numFmtId="9" fontId="14" fillId="0" borderId="0" xfId="6" applyNumberFormat="1" applyFill="1" applyBorder="1" applyAlignment="1" applyProtection="1">
      <alignment vertical="top"/>
    </xf>
    <xf numFmtId="4" fontId="14" fillId="0" borderId="0" xfId="6" applyNumberFormat="1" applyFill="1" applyBorder="1" applyAlignment="1" applyProtection="1">
      <alignment vertical="top"/>
    </xf>
    <xf numFmtId="171" fontId="14" fillId="0" borderId="0" xfId="6" applyNumberFormat="1" applyFill="1" applyBorder="1" applyAlignment="1" applyProtection="1">
      <alignment vertical="top"/>
    </xf>
    <xf numFmtId="4" fontId="14" fillId="0" borderId="0" xfId="6" applyNumberFormat="1" applyFill="1" applyBorder="1" applyAlignment="1" applyProtection="1">
      <alignment horizontal="right" vertical="top"/>
    </xf>
    <xf numFmtId="10" fontId="0" fillId="0" borderId="0" xfId="9" applyNumberFormat="1" applyFont="1" applyFill="1" applyBorder="1" applyAlignment="1" applyProtection="1">
      <alignment vertical="top"/>
    </xf>
    <xf numFmtId="10" fontId="14" fillId="0" borderId="0" xfId="6" applyNumberFormat="1" applyFill="1" applyBorder="1" applyAlignment="1" applyProtection="1">
      <alignment vertical="top"/>
    </xf>
    <xf numFmtId="9" fontId="0" fillId="0" borderId="0" xfId="9" applyFont="1" applyFill="1" applyBorder="1" applyAlignment="1" applyProtection="1">
      <alignment vertical="top"/>
    </xf>
    <xf numFmtId="0" fontId="14" fillId="0" borderId="0" xfId="6" applyFont="1" applyFill="1" applyBorder="1" applyProtection="1"/>
    <xf numFmtId="164" fontId="0" fillId="0" borderId="0" xfId="9" applyNumberFormat="1" applyFont="1" applyFill="1" applyBorder="1" applyProtection="1"/>
    <xf numFmtId="2" fontId="14" fillId="0" borderId="0" xfId="10" applyNumberFormat="1" applyFont="1" applyFill="1" applyBorder="1" applyAlignment="1" applyProtection="1">
      <alignment vertical="top"/>
    </xf>
    <xf numFmtId="43" fontId="0" fillId="0" borderId="0" xfId="10" applyNumberFormat="1" applyFont="1" applyFill="1" applyBorder="1" applyAlignment="1" applyProtection="1">
      <alignment vertical="top"/>
    </xf>
    <xf numFmtId="168" fontId="0" fillId="0" borderId="0" xfId="10" applyNumberFormat="1" applyFont="1" applyFill="1" applyBorder="1" applyAlignment="1" applyProtection="1">
      <alignment vertical="top"/>
    </xf>
    <xf numFmtId="168" fontId="14" fillId="0" borderId="0" xfId="6" applyNumberFormat="1" applyFill="1" applyBorder="1" applyAlignment="1" applyProtection="1">
      <alignment vertical="top"/>
    </xf>
    <xf numFmtId="0" fontId="14" fillId="0" borderId="0" xfId="6" applyFill="1" applyBorder="1" applyAlignment="1" applyProtection="1">
      <alignment vertical="top" wrapText="1"/>
    </xf>
    <xf numFmtId="8" fontId="0" fillId="0" borderId="0" xfId="9" applyNumberFormat="1" applyFont="1" applyFill="1" applyBorder="1" applyAlignment="1" applyProtection="1">
      <alignment vertical="top"/>
    </xf>
    <xf numFmtId="6" fontId="14" fillId="0" borderId="0" xfId="6" applyNumberFormat="1" applyFill="1" applyBorder="1" applyAlignment="1" applyProtection="1">
      <alignment vertical="top"/>
    </xf>
    <xf numFmtId="165" fontId="14" fillId="0" borderId="0" xfId="6" applyNumberFormat="1" applyFill="1" applyBorder="1" applyAlignment="1" applyProtection="1">
      <alignment vertical="top"/>
    </xf>
    <xf numFmtId="172" fontId="14" fillId="0" borderId="0" xfId="6" applyNumberFormat="1" applyFill="1" applyBorder="1" applyAlignment="1" applyProtection="1">
      <alignment vertical="top"/>
    </xf>
    <xf numFmtId="0" fontId="14" fillId="0" borderId="0" xfId="6" applyFont="1" applyAlignment="1" applyProtection="1">
      <alignment horizontal="right" vertical="top"/>
    </xf>
    <xf numFmtId="0" fontId="13" fillId="0" borderId="0" xfId="5" applyAlignment="1" applyProtection="1"/>
    <xf numFmtId="0" fontId="8" fillId="0" borderId="0" xfId="11" applyFill="1" applyProtection="1"/>
    <xf numFmtId="0" fontId="26" fillId="0" borderId="0" xfId="11" applyFont="1" applyAlignment="1" applyProtection="1">
      <alignment horizontal="center" vertical="center" wrapText="1"/>
    </xf>
    <xf numFmtId="0" fontId="14" fillId="0" borderId="0" xfId="6" applyFill="1" applyAlignment="1" applyProtection="1">
      <alignment horizontal="left" vertical="top"/>
    </xf>
    <xf numFmtId="168" fontId="16" fillId="16" borderId="0" xfId="1" applyNumberFormat="1" applyFont="1" applyFill="1" applyBorder="1" applyAlignment="1" applyProtection="1">
      <alignment vertical="top"/>
      <protection locked="0"/>
    </xf>
    <xf numFmtId="0" fontId="0" fillId="0" borderId="0" xfId="0" applyAlignment="1">
      <alignment horizontal="center"/>
    </xf>
    <xf numFmtId="0" fontId="0" fillId="23" borderId="0" xfId="0" applyFill="1" applyAlignment="1">
      <alignment horizontal="center"/>
    </xf>
    <xf numFmtId="9" fontId="14" fillId="0" borderId="0" xfId="6" applyNumberFormat="1" applyAlignment="1" applyProtection="1">
      <alignment vertical="top"/>
    </xf>
    <xf numFmtId="0" fontId="13" fillId="0" borderId="0" xfId="5" applyFill="1" applyAlignment="1" applyProtection="1">
      <alignment vertical="top"/>
    </xf>
    <xf numFmtId="9" fontId="14" fillId="0" borderId="0" xfId="2" applyFont="1" applyFill="1" applyBorder="1" applyAlignment="1" applyProtection="1">
      <alignment vertical="top"/>
    </xf>
    <xf numFmtId="3" fontId="14" fillId="20" borderId="0" xfId="6" applyNumberFormat="1" applyFont="1" applyFill="1" applyBorder="1" applyAlignment="1" applyProtection="1">
      <alignment horizontal="center" vertical="top"/>
    </xf>
    <xf numFmtId="0" fontId="17" fillId="0" borderId="0" xfId="6" applyNumberFormat="1" applyFont="1" applyFill="1" applyBorder="1" applyAlignment="1" applyProtection="1">
      <alignment vertical="top"/>
    </xf>
    <xf numFmtId="3" fontId="14" fillId="0" borderId="0" xfId="6" applyNumberFormat="1" applyFont="1" applyFill="1" applyBorder="1" applyAlignment="1" applyProtection="1">
      <alignment horizontal="center" vertical="top"/>
    </xf>
    <xf numFmtId="3" fontId="14" fillId="0" borderId="0" xfId="6" applyNumberFormat="1" applyFont="1" applyAlignment="1" applyProtection="1">
      <alignment vertical="top"/>
    </xf>
    <xf numFmtId="0" fontId="14" fillId="0" borderId="0" xfId="6" applyFont="1" applyAlignment="1" applyProtection="1">
      <alignment horizontal="center" vertical="top" wrapText="1"/>
    </xf>
    <xf numFmtId="0" fontId="14" fillId="0" borderId="0" xfId="6" applyAlignment="1" applyProtection="1">
      <alignment horizontal="center" vertical="top" wrapText="1"/>
    </xf>
    <xf numFmtId="0" fontId="18" fillId="0" borderId="0" xfId="6" applyFont="1" applyBorder="1" applyAlignment="1" applyProtection="1">
      <alignment horizontal="left" vertical="top"/>
    </xf>
    <xf numFmtId="0" fontId="18" fillId="0" borderId="0" xfId="6" applyFont="1" applyBorder="1" applyAlignment="1" applyProtection="1">
      <alignment vertical="top" wrapText="1"/>
    </xf>
    <xf numFmtId="1" fontId="14" fillId="0" borderId="0" xfId="6" applyNumberFormat="1" applyFill="1" applyAlignment="1" applyProtection="1">
      <alignment vertical="top"/>
    </xf>
    <xf numFmtId="0" fontId="11" fillId="0" borderId="0" xfId="4" applyFont="1" applyAlignment="1">
      <alignment vertical="top"/>
    </xf>
    <xf numFmtId="0" fontId="29" fillId="0" borderId="0" xfId="4" applyFont="1"/>
    <xf numFmtId="0" fontId="30" fillId="0" borderId="0" xfId="6" applyFont="1" applyAlignment="1" applyProtection="1">
      <alignment vertical="top"/>
    </xf>
    <xf numFmtId="0" fontId="31" fillId="0" borderId="0" xfId="6" applyFont="1" applyAlignment="1" applyProtection="1">
      <alignment vertical="top"/>
    </xf>
    <xf numFmtId="0" fontId="30" fillId="0" borderId="0" xfId="6" applyFont="1" applyAlignment="1">
      <alignment vertical="top" wrapText="1"/>
    </xf>
    <xf numFmtId="0" fontId="30" fillId="0" borderId="0" xfId="6" applyFont="1" applyAlignment="1">
      <alignment vertical="top"/>
    </xf>
    <xf numFmtId="0" fontId="30" fillId="0" borderId="0" xfId="6" applyFont="1" applyBorder="1" applyAlignment="1">
      <alignment vertical="center" wrapText="1"/>
    </xf>
    <xf numFmtId="0" fontId="30" fillId="0" borderId="0" xfId="6" applyFont="1" applyBorder="1" applyAlignment="1">
      <alignment vertical="center"/>
    </xf>
    <xf numFmtId="49" fontId="30" fillId="0" borderId="0" xfId="6" applyNumberFormat="1" applyFont="1" applyBorder="1" applyAlignment="1">
      <alignment horizontal="center" vertical="center"/>
    </xf>
    <xf numFmtId="0" fontId="31" fillId="0" borderId="0" xfId="6" applyFont="1" applyFill="1" applyBorder="1" applyAlignment="1">
      <alignment vertical="center" wrapText="1"/>
    </xf>
    <xf numFmtId="166" fontId="30" fillId="0" borderId="0" xfId="6" applyNumberFormat="1" applyFont="1" applyBorder="1" applyAlignment="1">
      <alignment vertical="center"/>
    </xf>
    <xf numFmtId="0" fontId="30" fillId="0" borderId="0" xfId="6" applyFont="1" applyFill="1" applyBorder="1" applyAlignment="1" applyProtection="1">
      <alignment horizontal="left" vertical="top" indent="1"/>
    </xf>
    <xf numFmtId="3" fontId="30" fillId="0" borderId="0" xfId="6" applyNumberFormat="1" applyFont="1" applyAlignment="1">
      <alignment vertical="top"/>
    </xf>
    <xf numFmtId="0" fontId="30" fillId="0" borderId="0" xfId="6" applyFont="1" applyBorder="1" applyAlignment="1" applyProtection="1">
      <alignment horizontal="left" vertical="top" indent="1"/>
    </xf>
    <xf numFmtId="0" fontId="31" fillId="0" borderId="0" xfId="6" applyFont="1" applyFill="1" applyBorder="1" applyAlignment="1" applyProtection="1">
      <alignment vertical="top"/>
    </xf>
    <xf numFmtId="0" fontId="31" fillId="0" borderId="0" xfId="6" applyFont="1" applyFill="1" applyBorder="1" applyAlignment="1" applyProtection="1"/>
    <xf numFmtId="166" fontId="30" fillId="0" borderId="0" xfId="6" applyNumberFormat="1" applyFont="1" applyBorder="1" applyAlignment="1"/>
    <xf numFmtId="0" fontId="30" fillId="0" borderId="0" xfId="6" applyNumberFormat="1" applyFont="1" applyFill="1" applyBorder="1" applyAlignment="1" applyProtection="1">
      <alignment horizontal="left" vertical="top" indent="1"/>
    </xf>
    <xf numFmtId="0" fontId="30" fillId="0" borderId="0" xfId="6" applyNumberFormat="1" applyFont="1" applyFill="1" applyBorder="1" applyAlignment="1">
      <alignment horizontal="left" vertical="center" wrapText="1" indent="1"/>
    </xf>
    <xf numFmtId="0" fontId="31" fillId="0" borderId="0" xfId="6" applyFont="1" applyBorder="1" applyAlignment="1" applyProtection="1">
      <alignment vertical="top"/>
    </xf>
    <xf numFmtId="0" fontId="32" fillId="0" borderId="0" xfId="4" applyFont="1"/>
    <xf numFmtId="0" fontId="32" fillId="0" borderId="0" xfId="4" applyFont="1" applyAlignment="1">
      <alignment horizontal="left" indent="1"/>
    </xf>
    <xf numFmtId="0" fontId="9" fillId="16" borderId="0" xfId="4" applyFill="1" applyBorder="1" applyAlignment="1" applyProtection="1">
      <alignment horizontal="center" vertical="top"/>
      <protection locked="0"/>
    </xf>
    <xf numFmtId="0" fontId="13" fillId="0" borderId="0" xfId="5" applyAlignment="1" applyProtection="1">
      <alignment wrapText="1"/>
    </xf>
    <xf numFmtId="0" fontId="7" fillId="0" borderId="0" xfId="4" applyFont="1" applyAlignment="1">
      <alignment vertical="top"/>
    </xf>
    <xf numFmtId="0" fontId="6" fillId="0" borderId="0" xfId="4" applyFont="1" applyAlignment="1">
      <alignment vertical="top"/>
    </xf>
    <xf numFmtId="165" fontId="14" fillId="0" borderId="0" xfId="6" applyNumberFormat="1" applyAlignment="1" applyProtection="1">
      <alignment vertical="top"/>
    </xf>
    <xf numFmtId="165" fontId="19" fillId="0" borderId="0" xfId="9" applyNumberFormat="1" applyFont="1" applyFill="1" applyBorder="1" applyAlignment="1" applyProtection="1">
      <alignment vertical="top"/>
    </xf>
    <xf numFmtId="165" fontId="14" fillId="0" borderId="0" xfId="6" applyNumberFormat="1" applyFont="1" applyFill="1" applyBorder="1" applyAlignment="1" applyProtection="1">
      <alignment vertical="top"/>
    </xf>
    <xf numFmtId="0" fontId="14" fillId="0" borderId="0" xfId="6" applyFont="1" applyFill="1" applyBorder="1" applyAlignment="1" applyProtection="1">
      <alignment horizontal="left" vertical="top" wrapText="1"/>
    </xf>
    <xf numFmtId="0" fontId="14" fillId="0" borderId="0" xfId="6" applyFont="1" applyBorder="1" applyAlignment="1" applyProtection="1">
      <alignment horizontal="center" vertical="top"/>
    </xf>
    <xf numFmtId="0" fontId="5" fillId="0" borderId="0" xfId="52"/>
    <xf numFmtId="0" fontId="5" fillId="22" borderId="0" xfId="52" applyFill="1"/>
    <xf numFmtId="0" fontId="5" fillId="17" borderId="0" xfId="52" applyFill="1"/>
    <xf numFmtId="0" fontId="33" fillId="0" borderId="0" xfId="52" applyFont="1"/>
    <xf numFmtId="0" fontId="33" fillId="0" borderId="0" xfId="52" applyFont="1" applyBorder="1" applyAlignment="1">
      <alignment horizontal="center" vertical="center" wrapText="1"/>
    </xf>
    <xf numFmtId="0" fontId="33" fillId="0" borderId="0" xfId="52" applyFont="1" applyBorder="1"/>
    <xf numFmtId="0" fontId="33" fillId="0" borderId="0" xfId="52" applyFont="1" applyFill="1" applyBorder="1" applyAlignment="1">
      <alignment horizontal="center" vertical="center" wrapText="1"/>
    </xf>
    <xf numFmtId="0" fontId="33" fillId="0" borderId="0" xfId="52" applyFont="1" applyBorder="1" applyAlignment="1">
      <alignment vertical="center" wrapText="1"/>
    </xf>
    <xf numFmtId="0" fontId="33" fillId="0" borderId="0" xfId="52" applyFont="1" applyBorder="1" applyAlignment="1">
      <alignment horizontal="center" vertical="center"/>
    </xf>
    <xf numFmtId="0" fontId="33" fillId="0" borderId="0" xfId="52" applyFont="1" applyBorder="1" applyAlignment="1">
      <alignment vertical="top" wrapText="1"/>
    </xf>
    <xf numFmtId="0" fontId="33" fillId="0" borderId="0" xfId="52" applyFont="1" applyBorder="1" applyAlignment="1">
      <alignment horizontal="center" vertical="top" wrapText="1"/>
    </xf>
    <xf numFmtId="3" fontId="33" fillId="0" borderId="0" xfId="52" applyNumberFormat="1" applyFont="1" applyBorder="1" applyAlignment="1">
      <alignment vertical="center" wrapText="1"/>
    </xf>
    <xf numFmtId="1" fontId="33" fillId="0" borderId="0" xfId="52" applyNumberFormat="1" applyFont="1" applyBorder="1" applyAlignment="1">
      <alignment vertical="center" wrapText="1"/>
    </xf>
    <xf numFmtId="0" fontId="33" fillId="0" borderId="0" xfId="52" applyFont="1" applyAlignment="1">
      <alignment vertical="center"/>
    </xf>
    <xf numFmtId="0" fontId="33" fillId="0" borderId="0" xfId="52" applyFont="1" applyAlignment="1">
      <alignment horizontal="center" vertical="center" wrapText="1"/>
    </xf>
    <xf numFmtId="6" fontId="33" fillId="0" borderId="0" xfId="52" applyNumberFormat="1" applyFont="1" applyBorder="1" applyAlignment="1">
      <alignment vertical="top" wrapText="1"/>
    </xf>
    <xf numFmtId="1" fontId="33" fillId="0" borderId="0" xfId="52" applyNumberFormat="1" applyFont="1" applyBorder="1" applyAlignment="1">
      <alignment vertical="top" wrapText="1"/>
    </xf>
    <xf numFmtId="1" fontId="33" fillId="0" borderId="0" xfId="52" applyNumberFormat="1" applyFont="1"/>
    <xf numFmtId="179" fontId="33" fillId="0" borderId="0" xfId="52" applyNumberFormat="1" applyFont="1" applyBorder="1" applyAlignment="1">
      <alignment vertical="top" wrapText="1"/>
    </xf>
    <xf numFmtId="2" fontId="5" fillId="0" borderId="0" xfId="52" applyNumberFormat="1"/>
    <xf numFmtId="0" fontId="33" fillId="0" borderId="0" xfId="52" applyFont="1" applyAlignment="1">
      <alignment vertical="top"/>
    </xf>
    <xf numFmtId="0" fontId="33" fillId="0" borderId="0" xfId="52" applyFont="1" applyBorder="1" applyAlignment="1">
      <alignment vertical="top"/>
    </xf>
    <xf numFmtId="168" fontId="33" fillId="0" borderId="0" xfId="1" applyNumberFormat="1" applyFont="1" applyBorder="1" applyAlignment="1">
      <alignment vertical="center" wrapText="1"/>
    </xf>
    <xf numFmtId="1" fontId="5" fillId="0" borderId="0" xfId="52" applyNumberFormat="1"/>
    <xf numFmtId="0" fontId="5" fillId="0" borderId="0" xfId="4" applyFont="1" applyFill="1" applyAlignment="1">
      <alignment vertical="top"/>
    </xf>
    <xf numFmtId="0" fontId="5" fillId="0" borderId="0" xfId="4" applyFont="1" applyAlignment="1">
      <alignment vertical="top"/>
    </xf>
    <xf numFmtId="0" fontId="9" fillId="16" borderId="0" xfId="4" applyFill="1" applyBorder="1" applyAlignment="1" applyProtection="1">
      <alignment horizontal="right" vertical="top"/>
      <protection locked="0"/>
    </xf>
    <xf numFmtId="3" fontId="19" fillId="0" borderId="0" xfId="6" applyNumberFormat="1" applyFont="1" applyBorder="1" applyAlignment="1" applyProtection="1">
      <alignment horizontal="center" vertical="top"/>
    </xf>
    <xf numFmtId="164" fontId="14" fillId="0" borderId="0" xfId="6" applyNumberFormat="1" applyFont="1" applyBorder="1" applyAlignment="1" applyProtection="1">
      <alignment vertical="top"/>
    </xf>
    <xf numFmtId="171" fontId="14" fillId="0" borderId="0" xfId="6" applyNumberFormat="1" applyFont="1" applyBorder="1" applyAlignment="1" applyProtection="1">
      <alignment horizontal="right" vertical="top"/>
    </xf>
    <xf numFmtId="169" fontId="14" fillId="0" borderId="0" xfId="6" applyNumberFormat="1" applyFont="1" applyBorder="1" applyAlignment="1" applyProtection="1">
      <alignment horizontal="right" vertical="top"/>
    </xf>
    <xf numFmtId="3" fontId="19" fillId="16" borderId="0" xfId="6" applyNumberFormat="1" applyFont="1" applyFill="1" applyAlignment="1" applyProtection="1">
      <alignment horizontal="right" vertical="top"/>
    </xf>
    <xf numFmtId="4" fontId="14" fillId="17" borderId="0" xfId="6" applyNumberFormat="1" applyFont="1" applyFill="1" applyAlignment="1" applyProtection="1">
      <alignment horizontal="right" vertical="top"/>
    </xf>
    <xf numFmtId="43" fontId="16" fillId="16" borderId="0" xfId="1" applyNumberFormat="1" applyFont="1" applyFill="1" applyBorder="1" applyAlignment="1" applyProtection="1">
      <alignment vertical="top"/>
      <protection locked="0"/>
    </xf>
    <xf numFmtId="164" fontId="14" fillId="16" borderId="0" xfId="2" applyNumberFormat="1" applyFont="1" applyFill="1" applyAlignment="1" applyProtection="1">
      <alignment horizontal="right" vertical="top"/>
    </xf>
    <xf numFmtId="4" fontId="14" fillId="16" borderId="0" xfId="6" applyNumberFormat="1" applyFont="1" applyFill="1" applyAlignment="1" applyProtection="1">
      <alignment vertical="top"/>
    </xf>
    <xf numFmtId="0" fontId="5" fillId="0" borderId="0" xfId="4" applyFont="1" applyBorder="1" applyAlignment="1">
      <alignment vertical="top"/>
    </xf>
    <xf numFmtId="9" fontId="16" fillId="16" borderId="0" xfId="2" applyFont="1" applyFill="1" applyBorder="1" applyAlignment="1" applyProtection="1">
      <alignment vertical="top"/>
      <protection locked="0"/>
    </xf>
    <xf numFmtId="9" fontId="14" fillId="20" borderId="0" xfId="2" applyFont="1" applyFill="1" applyAlignment="1" applyProtection="1">
      <alignment vertical="top"/>
    </xf>
    <xf numFmtId="9" fontId="14" fillId="0" borderId="0" xfId="2" applyFont="1" applyBorder="1" applyAlignment="1" applyProtection="1">
      <alignment horizontal="right" vertical="top"/>
    </xf>
    <xf numFmtId="9" fontId="14" fillId="0" borderId="0" xfId="2" applyFont="1" applyFill="1" applyAlignment="1" applyProtection="1">
      <alignment horizontal="right" vertical="top"/>
    </xf>
    <xf numFmtId="9" fontId="14" fillId="16" borderId="0" xfId="2" applyFont="1" applyFill="1" applyAlignment="1" applyProtection="1">
      <alignment horizontal="right" vertical="top"/>
    </xf>
    <xf numFmtId="0" fontId="4" fillId="0" borderId="4" xfId="0" applyFont="1" applyBorder="1"/>
    <xf numFmtId="0" fontId="4" fillId="0" borderId="5" xfId="0" applyFont="1" applyBorder="1"/>
    <xf numFmtId="0" fontId="4" fillId="0" borderId="7" xfId="0" applyFont="1" applyBorder="1" applyAlignment="1">
      <alignment vertical="top"/>
    </xf>
    <xf numFmtId="0" fontId="4" fillId="0" borderId="7" xfId="0" applyFont="1" applyBorder="1"/>
    <xf numFmtId="0" fontId="4" fillId="0" borderId="6" xfId="0" applyFont="1" applyBorder="1" applyAlignment="1">
      <alignment vertical="top"/>
    </xf>
    <xf numFmtId="4" fontId="14" fillId="0" borderId="0" xfId="6" applyNumberFormat="1" applyFont="1" applyFill="1" applyAlignment="1" applyProtection="1">
      <alignment horizontal="right" vertical="top"/>
    </xf>
    <xf numFmtId="3" fontId="19" fillId="0" borderId="0" xfId="6" applyNumberFormat="1" applyFont="1" applyFill="1" applyAlignment="1" applyProtection="1">
      <alignment horizontal="right" vertical="top"/>
    </xf>
    <xf numFmtId="168" fontId="14" fillId="0" borderId="0" xfId="1" applyNumberFormat="1" applyFont="1" applyFill="1" applyAlignment="1" applyProtection="1">
      <alignment vertical="top"/>
    </xf>
    <xf numFmtId="168" fontId="14" fillId="0" borderId="0" xfId="1" applyNumberFormat="1" applyFont="1" applyAlignment="1" applyProtection="1">
      <alignment vertical="top"/>
    </xf>
    <xf numFmtId="168" fontId="14" fillId="16" borderId="0" xfId="6" applyNumberFormat="1" applyFont="1" applyFill="1" applyAlignment="1" applyProtection="1">
      <alignment vertical="top"/>
    </xf>
    <xf numFmtId="168" fontId="14" fillId="0" borderId="0" xfId="6" applyNumberFormat="1" applyFont="1" applyFill="1" applyAlignment="1" applyProtection="1">
      <alignment horizontal="right" vertical="top"/>
    </xf>
    <xf numFmtId="0" fontId="19" fillId="0" borderId="0" xfId="6" applyFont="1" applyFill="1" applyAlignment="1" applyProtection="1">
      <alignment vertical="top"/>
    </xf>
    <xf numFmtId="3" fontId="14" fillId="16" borderId="0" xfId="6" applyNumberFormat="1" applyFont="1" applyFill="1" applyBorder="1" applyAlignment="1" applyProtection="1">
      <alignment vertical="top"/>
    </xf>
    <xf numFmtId="3" fontId="14" fillId="16" borderId="0" xfId="6" applyNumberFormat="1" applyFill="1" applyAlignment="1" applyProtection="1">
      <alignment horizontal="right" vertical="top"/>
    </xf>
    <xf numFmtId="9" fontId="14" fillId="16" borderId="0" xfId="2" applyNumberFormat="1" applyFont="1" applyFill="1" applyAlignment="1" applyProtection="1">
      <alignment horizontal="right" vertical="top"/>
    </xf>
    <xf numFmtId="3" fontId="19" fillId="16" borderId="0" xfId="6" applyNumberFormat="1" applyFont="1" applyFill="1" applyBorder="1" applyAlignment="1" applyProtection="1">
      <alignment horizontal="right" vertical="top"/>
    </xf>
    <xf numFmtId="4" fontId="14" fillId="16" borderId="0" xfId="6" applyNumberFormat="1" applyFont="1" applyFill="1" applyAlignment="1" applyProtection="1">
      <alignment horizontal="right" vertical="top"/>
    </xf>
    <xf numFmtId="0" fontId="14" fillId="16" borderId="0" xfId="6" applyFill="1" applyBorder="1" applyAlignment="1" applyProtection="1">
      <alignment horizontal="right" vertical="top"/>
    </xf>
    <xf numFmtId="0" fontId="14" fillId="16" borderId="0" xfId="6" applyFill="1" applyBorder="1" applyAlignment="1" applyProtection="1">
      <alignment horizontal="left" vertical="top"/>
    </xf>
    <xf numFmtId="4" fontId="19" fillId="0" borderId="0" xfId="0" applyNumberFormat="1" applyFont="1" applyBorder="1" applyAlignment="1" applyProtection="1">
      <alignment horizontal="center" wrapText="1"/>
    </xf>
    <xf numFmtId="0" fontId="19" fillId="0" borderId="0" xfId="0" applyFont="1" applyBorder="1" applyAlignment="1" applyProtection="1">
      <alignment horizontal="center" wrapText="1"/>
    </xf>
    <xf numFmtId="171" fontId="19" fillId="0" borderId="0" xfId="0" applyNumberFormat="1" applyFont="1" applyFill="1" applyProtection="1"/>
    <xf numFmtId="4" fontId="19" fillId="0" borderId="0" xfId="0" applyNumberFormat="1" applyFont="1" applyFill="1" applyProtection="1"/>
    <xf numFmtId="0" fontId="19" fillId="0" borderId="0" xfId="0" applyFont="1" applyAlignment="1" applyProtection="1">
      <alignment horizontal="center" wrapText="1"/>
    </xf>
    <xf numFmtId="170" fontId="19" fillId="0" borderId="0" xfId="0" applyNumberFormat="1" applyFont="1" applyFill="1" applyProtection="1"/>
    <xf numFmtId="0" fontId="25" fillId="0" borderId="0" xfId="52" applyFont="1" applyFill="1" applyProtection="1"/>
    <xf numFmtId="0" fontId="25" fillId="0" borderId="0" xfId="52" applyFont="1" applyProtection="1"/>
    <xf numFmtId="0" fontId="25" fillId="0" borderId="0" xfId="0" applyFont="1" applyFill="1" applyBorder="1" applyAlignment="1" applyProtection="1"/>
    <xf numFmtId="0" fontId="5" fillId="0" borderId="0" xfId="52" applyProtection="1">
      <protection locked="0"/>
    </xf>
    <xf numFmtId="0" fontId="5" fillId="16" borderId="0" xfId="52" applyFill="1" applyProtection="1">
      <protection locked="0"/>
    </xf>
    <xf numFmtId="3" fontId="33" fillId="16" borderId="0" xfId="52" applyNumberFormat="1" applyFont="1" applyFill="1" applyBorder="1" applyAlignment="1" applyProtection="1">
      <alignment vertical="top" wrapText="1"/>
      <protection locked="0"/>
    </xf>
    <xf numFmtId="1" fontId="33" fillId="16" borderId="0" xfId="52" applyNumberFormat="1" applyFont="1" applyFill="1" applyBorder="1" applyAlignment="1" applyProtection="1">
      <alignment vertical="top" wrapText="1"/>
      <protection locked="0"/>
    </xf>
    <xf numFmtId="1" fontId="33" fillId="16" borderId="0" xfId="52" applyNumberFormat="1" applyFont="1" applyFill="1" applyProtection="1">
      <protection locked="0"/>
    </xf>
    <xf numFmtId="0" fontId="33" fillId="17" borderId="0" xfId="52" applyFont="1" applyFill="1" applyProtection="1">
      <protection locked="0"/>
    </xf>
    <xf numFmtId="179" fontId="33" fillId="17" borderId="0" xfId="52" applyNumberFormat="1" applyFont="1" applyFill="1" applyProtection="1">
      <protection locked="0"/>
    </xf>
    <xf numFmtId="0" fontId="3" fillId="0" borderId="0" xfId="52" applyFont="1"/>
    <xf numFmtId="0" fontId="3" fillId="0" borderId="0" xfId="52" applyFont="1" applyAlignment="1">
      <alignment horizontal="center"/>
    </xf>
    <xf numFmtId="0" fontId="5" fillId="0" borderId="0" xfId="52" applyAlignment="1">
      <alignment horizontal="center"/>
    </xf>
    <xf numFmtId="3" fontId="4" fillId="16" borderId="0" xfId="52" applyNumberFormat="1" applyFont="1" applyFill="1" applyAlignment="1" applyProtection="1">
      <alignment horizontal="center"/>
      <protection locked="0"/>
    </xf>
    <xf numFmtId="3" fontId="5" fillId="0" borderId="0" xfId="52" applyNumberFormat="1" applyAlignment="1">
      <alignment horizontal="center"/>
    </xf>
    <xf numFmtId="168" fontId="33" fillId="16" borderId="0" xfId="53" applyNumberFormat="1" applyFont="1" applyFill="1" applyBorder="1" applyAlignment="1" applyProtection="1">
      <alignment horizontal="right" vertical="center" wrapText="1"/>
      <protection locked="0"/>
    </xf>
    <xf numFmtId="168" fontId="33" fillId="0" borderId="0" xfId="53" applyNumberFormat="1" applyFont="1" applyBorder="1" applyAlignment="1">
      <alignment horizontal="right" vertical="center" wrapText="1"/>
    </xf>
    <xf numFmtId="168" fontId="33" fillId="0" borderId="0" xfId="1" applyNumberFormat="1" applyFont="1" applyBorder="1" applyAlignment="1">
      <alignment horizontal="right" vertical="center" wrapText="1"/>
    </xf>
    <xf numFmtId="0" fontId="4" fillId="0" borderId="3" xfId="0" applyFont="1" applyBorder="1"/>
    <xf numFmtId="0" fontId="4" fillId="0" borderId="6" xfId="0" applyFont="1" applyBorder="1"/>
    <xf numFmtId="0" fontId="2" fillId="0" borderId="7" xfId="0" applyFont="1" applyBorder="1"/>
    <xf numFmtId="0" fontId="4" fillId="0" borderId="4" xfId="0" applyFont="1" applyBorder="1" applyAlignment="1">
      <alignment vertical="top"/>
    </xf>
    <xf numFmtId="1" fontId="4" fillId="0" borderId="4" xfId="0" applyNumberFormat="1" applyFont="1" applyBorder="1" applyAlignment="1">
      <alignment horizontal="right" vertical="top"/>
    </xf>
    <xf numFmtId="0" fontId="4" fillId="0" borderId="5" xfId="0" applyFont="1" applyBorder="1" applyAlignment="1">
      <alignment vertical="top"/>
    </xf>
    <xf numFmtId="0" fontId="4" fillId="0" borderId="0" xfId="0" applyFont="1" applyBorder="1" applyAlignment="1">
      <alignment vertical="top"/>
    </xf>
    <xf numFmtId="4" fontId="4" fillId="0" borderId="0" xfId="0" applyNumberFormat="1" applyFont="1" applyBorder="1" applyAlignment="1">
      <alignment horizontal="right" vertical="top"/>
    </xf>
    <xf numFmtId="10" fontId="4" fillId="0" borderId="0" xfId="0" applyNumberFormat="1" applyFont="1" applyBorder="1" applyAlignment="1">
      <alignment horizontal="right" vertical="top"/>
    </xf>
    <xf numFmtId="0" fontId="4" fillId="0" borderId="0" xfId="0" applyFont="1" applyBorder="1" applyAlignment="1">
      <alignment vertical="top" wrapText="1"/>
    </xf>
    <xf numFmtId="9" fontId="4" fillId="0" borderId="0" xfId="0" applyNumberFormat="1" applyFont="1" applyBorder="1" applyAlignment="1">
      <alignment horizontal="right" vertical="top"/>
    </xf>
    <xf numFmtId="6" fontId="4" fillId="0" borderId="0" xfId="0" applyNumberFormat="1" applyFont="1" applyBorder="1" applyAlignment="1">
      <alignment horizontal="right" vertical="top"/>
    </xf>
    <xf numFmtId="3" fontId="4" fillId="0" borderId="0" xfId="0" applyNumberFormat="1" applyFont="1" applyBorder="1" applyAlignment="1">
      <alignment vertical="top"/>
    </xf>
    <xf numFmtId="0" fontId="2" fillId="0" borderId="0" xfId="0" applyFont="1" applyBorder="1" applyAlignment="1">
      <alignment vertical="top"/>
    </xf>
    <xf numFmtId="0" fontId="0" fillId="0" borderId="0" xfId="0" applyBorder="1"/>
    <xf numFmtId="3" fontId="4" fillId="0" borderId="0" xfId="0" applyNumberFormat="1" applyFont="1" applyBorder="1" applyAlignment="1">
      <alignment horizontal="right" vertical="top"/>
    </xf>
    <xf numFmtId="0" fontId="4" fillId="0" borderId="8" xfId="0" applyFont="1" applyBorder="1" applyAlignment="1">
      <alignment vertical="top"/>
    </xf>
    <xf numFmtId="0" fontId="4" fillId="0" borderId="9" xfId="0" applyFont="1" applyBorder="1" applyAlignment="1">
      <alignment vertical="top"/>
    </xf>
    <xf numFmtId="0" fontId="4" fillId="0" borderId="9" xfId="0" applyFont="1" applyBorder="1"/>
    <xf numFmtId="6" fontId="4" fillId="0" borderId="9" xfId="0" applyNumberFormat="1" applyFont="1" applyBorder="1" applyAlignment="1">
      <alignment horizontal="right" vertical="top"/>
    </xf>
    <xf numFmtId="0" fontId="4" fillId="0" borderId="10" xfId="0" applyFont="1" applyBorder="1" applyAlignment="1">
      <alignment vertical="top"/>
    </xf>
    <xf numFmtId="0" fontId="9" fillId="0" borderId="0" xfId="4" applyFill="1" applyAlignment="1">
      <alignment horizontal="left" vertical="top" wrapText="1"/>
    </xf>
    <xf numFmtId="0" fontId="9" fillId="0" borderId="0" xfId="4" applyAlignment="1">
      <alignment horizontal="left" vertical="top" wrapText="1"/>
    </xf>
    <xf numFmtId="0" fontId="14" fillId="0" borderId="0" xfId="6" applyFont="1" applyFill="1" applyBorder="1" applyAlignment="1" applyProtection="1">
      <alignment horizontal="left" vertical="top" wrapText="1"/>
    </xf>
    <xf numFmtId="0" fontId="20" fillId="0" borderId="0" xfId="6" applyFont="1" applyFill="1" applyBorder="1" applyAlignment="1" applyProtection="1">
      <alignment horizontal="center" vertical="top" wrapText="1"/>
    </xf>
    <xf numFmtId="0" fontId="20" fillId="0" borderId="0" xfId="6" applyFont="1" applyFill="1" applyBorder="1" applyAlignment="1" applyProtection="1">
      <alignment horizontal="left" vertical="top" wrapText="1"/>
    </xf>
    <xf numFmtId="0" fontId="14" fillId="0" borderId="0" xfId="6" applyFill="1" applyAlignment="1" applyProtection="1">
      <alignment horizontal="left" vertical="top" wrapText="1"/>
    </xf>
    <xf numFmtId="0" fontId="14" fillId="0" borderId="0" xfId="6" applyFont="1" applyBorder="1" applyAlignment="1" applyProtection="1">
      <alignment horizontal="center" vertical="top"/>
    </xf>
    <xf numFmtId="0" fontId="18" fillId="0" borderId="0" xfId="6" applyFont="1" applyAlignment="1" applyProtection="1">
      <alignment horizontal="center" vertical="top"/>
    </xf>
    <xf numFmtId="0" fontId="33" fillId="0" borderId="0" xfId="52" applyFont="1" applyBorder="1" applyAlignment="1">
      <alignment horizontal="center" vertical="center" wrapText="1"/>
    </xf>
    <xf numFmtId="0" fontId="5" fillId="0" borderId="0" xfId="52" applyAlignment="1">
      <alignment horizontal="center" vertical="center"/>
    </xf>
    <xf numFmtId="0" fontId="33" fillId="0" borderId="0" xfId="52" applyFont="1" applyAlignment="1">
      <alignment horizontal="left" vertical="top" wrapText="1"/>
    </xf>
    <xf numFmtId="0" fontId="4" fillId="0" borderId="0" xfId="0" applyFont="1" applyBorder="1" applyAlignment="1">
      <alignment vertical="top"/>
    </xf>
    <xf numFmtId="0" fontId="4" fillId="0" borderId="3" xfId="0" applyFont="1" applyBorder="1"/>
    <xf numFmtId="0" fontId="4" fillId="0" borderId="4" xfId="0" applyFont="1" applyBorder="1"/>
    <xf numFmtId="0" fontId="4" fillId="0" borderId="6" xfId="0" applyFont="1" applyBorder="1"/>
    <xf numFmtId="0" fontId="4" fillId="0" borderId="0" xfId="0" applyFont="1" applyBorder="1"/>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Check Cell" xfId="3" builtinId="23"/>
    <cellStyle name="Comma" xfId="1" builtinId="3"/>
    <cellStyle name="Comma 2" xfId="24"/>
    <cellStyle name="Comma 2 2" xfId="10"/>
    <cellStyle name="Comma 2 3" xfId="25"/>
    <cellStyle name="Comma 2 4" xfId="26"/>
    <cellStyle name="Comma 3" xfId="27"/>
    <cellStyle name="Comma 3 2" xfId="28"/>
    <cellStyle name="Comma 4" xfId="29"/>
    <cellStyle name="Comma 5" xfId="53"/>
    <cellStyle name="Currency 2" xfId="30"/>
    <cellStyle name="Currency 3" xfId="31"/>
    <cellStyle name="DateLong" xfId="32"/>
    <cellStyle name="DateLong 2" xfId="33"/>
    <cellStyle name="DateShort" xfId="34"/>
    <cellStyle name="DateShort 2" xfId="35"/>
    <cellStyle name="Excel Built-in Normal" xfId="36"/>
    <cellStyle name="Factor" xfId="37"/>
    <cellStyle name="Factor 2" xfId="38"/>
    <cellStyle name="Hyperlink" xfId="5" builtinId="8"/>
    <cellStyle name="Normal" xfId="0" builtinId="0"/>
    <cellStyle name="Normal 2" xfId="39"/>
    <cellStyle name="Normal 2 2" xfId="6"/>
    <cellStyle name="Normal 3" xfId="40"/>
    <cellStyle name="Normal 3 2" xfId="41"/>
    <cellStyle name="Normal 3 2 2" xfId="42"/>
    <cellStyle name="Normal 3 3" xfId="43"/>
    <cellStyle name="Normal 4" xfId="44"/>
    <cellStyle name="Normal 5" xfId="45"/>
    <cellStyle name="Normal 6" xfId="46"/>
    <cellStyle name="Normal 7" xfId="47"/>
    <cellStyle name="Normal 7 2" xfId="11"/>
    <cellStyle name="Normal 8" xfId="4"/>
    <cellStyle name="Normal 9" xfId="52"/>
    <cellStyle name="Note 2" xfId="48"/>
    <cellStyle name="Note 3" xfId="49"/>
    <cellStyle name="Percent" xfId="2" builtinId="5"/>
    <cellStyle name="Percent 2" xfId="50"/>
    <cellStyle name="Percent 2 2" xfId="9"/>
    <cellStyle name="Percent 3" xfId="8"/>
    <cellStyle name="Percent 4" xfId="51"/>
    <cellStyle name="Percent 5" xfId="7"/>
  </cellStyles>
  <dxfs count="6">
    <dxf>
      <fill>
        <patternFill>
          <bgColor rgb="FFFF0000"/>
        </patternFill>
      </fill>
    </dxf>
    <dxf>
      <fill>
        <patternFill>
          <bgColor rgb="FFFF0000"/>
        </patternFill>
      </fill>
    </dxf>
    <dxf>
      <font>
        <condense val="0"/>
        <extend val="0"/>
        <color rgb="FF9C0006"/>
      </font>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Benefit</a:t>
            </a:r>
            <a:r>
              <a:rPr lang="en-US" baseline="0"/>
              <a:t> sharing over 20 years</a:t>
            </a:r>
            <a:endParaRPr lang="en-US"/>
          </a:p>
        </c:rich>
      </c:tx>
      <c:overlay val="0"/>
    </c:title>
    <c:autoTitleDeleted val="0"/>
    <c:plotArea>
      <c:layout/>
      <c:barChart>
        <c:barDir val="col"/>
        <c:grouping val="clustered"/>
        <c:varyColors val="0"/>
        <c:ser>
          <c:idx val="0"/>
          <c:order val="0"/>
          <c:invertIfNegative val="0"/>
          <c:cat>
            <c:strRef>
              <c:f>'Profit and Loss'!$C$90:$C$91</c:f>
              <c:strCache>
                <c:ptCount val="2"/>
                <c:pt idx="0">
                  <c:v>Local user</c:v>
                </c:pt>
                <c:pt idx="1">
                  <c:v>Members: Share interest</c:v>
                </c:pt>
              </c:strCache>
            </c:strRef>
          </c:cat>
          <c:val>
            <c:numRef>
              <c:f>'Profit and Loss'!$H$90:$H$91</c:f>
              <c:numCache>
                <c:formatCode>"£"#,##0</c:formatCode>
                <c:ptCount val="2"/>
                <c:pt idx="0">
                  <c:v>0</c:v>
                </c:pt>
                <c:pt idx="1">
                  <c:v>86993.400000000009</c:v>
                </c:pt>
              </c:numCache>
            </c:numRef>
          </c:val>
        </c:ser>
        <c:dLbls>
          <c:showLegendKey val="0"/>
          <c:showVal val="0"/>
          <c:showCatName val="0"/>
          <c:showSerName val="0"/>
          <c:showPercent val="0"/>
          <c:showBubbleSize val="0"/>
        </c:dLbls>
        <c:gapWidth val="150"/>
        <c:axId val="159378816"/>
        <c:axId val="198571136"/>
      </c:barChart>
      <c:catAx>
        <c:axId val="159378816"/>
        <c:scaling>
          <c:orientation val="minMax"/>
        </c:scaling>
        <c:delete val="0"/>
        <c:axPos val="b"/>
        <c:majorTickMark val="out"/>
        <c:minorTickMark val="none"/>
        <c:tickLblPos val="nextTo"/>
        <c:crossAx val="198571136"/>
        <c:crosses val="autoZero"/>
        <c:auto val="1"/>
        <c:lblAlgn val="ctr"/>
        <c:lblOffset val="100"/>
        <c:noMultiLvlLbl val="0"/>
      </c:catAx>
      <c:valAx>
        <c:axId val="198571136"/>
        <c:scaling>
          <c:orientation val="minMax"/>
        </c:scaling>
        <c:delete val="0"/>
        <c:axPos val="l"/>
        <c:majorGridlines/>
        <c:numFmt formatCode="&quot;£&quot;#,##0" sourceLinked="1"/>
        <c:majorTickMark val="out"/>
        <c:minorTickMark val="none"/>
        <c:tickLblPos val="nextTo"/>
        <c:crossAx val="159378816"/>
        <c:crosses val="autoZero"/>
        <c:crossBetween val="between"/>
      </c:valAx>
    </c:plotArea>
    <c:plotVisOnly val="1"/>
    <c:dispBlanksAs val="gap"/>
    <c:showDLblsOverMax val="0"/>
  </c:chart>
  <c:printSettings>
    <c:headerFooter/>
    <c:pageMargins b="0.75000000000001077" l="0.70000000000000062" r="0.70000000000000062" t="0.750000000000010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t>Benefit sharing over 20 years -NPV</a:t>
            </a:r>
          </a:p>
        </c:rich>
      </c:tx>
      <c:overlay val="0"/>
    </c:title>
    <c:autoTitleDeleted val="0"/>
    <c:plotArea>
      <c:layout>
        <c:manualLayout>
          <c:layoutTarget val="inner"/>
          <c:xMode val="edge"/>
          <c:yMode val="edge"/>
          <c:x val="0.1864694783610627"/>
          <c:y val="0.38726950889499173"/>
          <c:w val="0.77140425803949886"/>
          <c:h val="0.3573739672290332"/>
        </c:manualLayout>
      </c:layout>
      <c:barChart>
        <c:barDir val="col"/>
        <c:grouping val="clustered"/>
        <c:varyColors val="0"/>
        <c:ser>
          <c:idx val="0"/>
          <c:order val="0"/>
          <c:invertIfNegative val="0"/>
          <c:cat>
            <c:strRef>
              <c:f>'Profit and Loss'!$C$90:$C$91</c:f>
              <c:strCache>
                <c:ptCount val="2"/>
                <c:pt idx="0">
                  <c:v>Local user</c:v>
                </c:pt>
                <c:pt idx="1">
                  <c:v>Members: Share interest</c:v>
                </c:pt>
              </c:strCache>
            </c:strRef>
          </c:cat>
          <c:val>
            <c:numRef>
              <c:f>'Profit and Loss'!$I$90:$I$91</c:f>
              <c:numCache>
                <c:formatCode>"£"#,##0</c:formatCode>
                <c:ptCount val="2"/>
                <c:pt idx="0">
                  <c:v>0</c:v>
                </c:pt>
                <c:pt idx="1">
                  <c:v>63672.763677634954</c:v>
                </c:pt>
              </c:numCache>
            </c:numRef>
          </c:val>
        </c:ser>
        <c:dLbls>
          <c:showLegendKey val="0"/>
          <c:showVal val="0"/>
          <c:showCatName val="0"/>
          <c:showSerName val="0"/>
          <c:showPercent val="0"/>
          <c:showBubbleSize val="0"/>
        </c:dLbls>
        <c:gapWidth val="150"/>
        <c:axId val="159261440"/>
        <c:axId val="159262976"/>
      </c:barChart>
      <c:catAx>
        <c:axId val="159261440"/>
        <c:scaling>
          <c:orientation val="minMax"/>
        </c:scaling>
        <c:delete val="0"/>
        <c:axPos val="b"/>
        <c:majorTickMark val="out"/>
        <c:minorTickMark val="none"/>
        <c:tickLblPos val="nextTo"/>
        <c:crossAx val="159262976"/>
        <c:crosses val="autoZero"/>
        <c:auto val="1"/>
        <c:lblAlgn val="ctr"/>
        <c:lblOffset val="100"/>
        <c:noMultiLvlLbl val="0"/>
      </c:catAx>
      <c:valAx>
        <c:axId val="159262976"/>
        <c:scaling>
          <c:orientation val="minMax"/>
        </c:scaling>
        <c:delete val="0"/>
        <c:axPos val="l"/>
        <c:majorGridlines/>
        <c:numFmt formatCode="&quot;£&quot;#,##0" sourceLinked="1"/>
        <c:majorTickMark val="out"/>
        <c:minorTickMark val="none"/>
        <c:tickLblPos val="nextTo"/>
        <c:crossAx val="15926144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521138</xdr:colOff>
      <xdr:row>17</xdr:row>
      <xdr:rowOff>4380</xdr:rowOff>
    </xdr:from>
    <xdr:ext cx="184731" cy="264560"/>
    <xdr:sp macro="" textlink="">
      <xdr:nvSpPr>
        <xdr:cNvPr id="6" name="TextBox 5"/>
        <xdr:cNvSpPr txBox="1"/>
      </xdr:nvSpPr>
      <xdr:spPr>
        <a:xfrm>
          <a:off x="8929414" y="27896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8</xdr:col>
      <xdr:colOff>261418</xdr:colOff>
      <xdr:row>2</xdr:row>
      <xdr:rowOff>60739</xdr:rowOff>
    </xdr:from>
    <xdr:to>
      <xdr:col>12</xdr:col>
      <xdr:colOff>248478</xdr:colOff>
      <xdr:row>14</xdr:row>
      <xdr:rowOff>66539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276072</xdr:colOff>
      <xdr:row>17</xdr:row>
      <xdr:rowOff>13297</xdr:rowOff>
    </xdr:from>
    <xdr:to>
      <xdr:col>12</xdr:col>
      <xdr:colOff>265044</xdr:colOff>
      <xdr:row>22</xdr:row>
      <xdr:rowOff>320262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w/Documents/My%20SugarSync/Pav%20active%20projects/TRESOC%202017/Tresoc%20solar%20portfolio%2011%202017/Tadpool%20PV%20model%202.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90 Deg West"/>
      <sheetName val="Solar 90 Deg East"/>
      <sheetName val="Solar South Data Adjusted"/>
      <sheetName val="Solar South Data"/>
      <sheetName val="Solar Data 1kWp"/>
      <sheetName val="Solar Energy for Scheme Size"/>
      <sheetName val="Andrew notes"/>
      <sheetName val="Assumptions"/>
      <sheetName val="Read me"/>
      <sheetName val="Overview"/>
      <sheetName val="P&amp;L Summary"/>
      <sheetName val="P&amp;L &amp; Benefits"/>
      <sheetName val="input data from Argand"/>
      <sheetName val="TRESOC Output data "/>
      <sheetName val="Inputs _ Results"/>
      <sheetName val="Offer Doc"/>
      <sheetName val="Charts"/>
      <sheetName val="HH Demand"/>
      <sheetName val="adj HH"/>
      <sheetName val="Solar HH Generation"/>
      <sheetName val="PV adj HH"/>
      <sheetName val="Financial"/>
      <sheetName val="Weekday Analysis"/>
      <sheetName val="Weekday Net import"/>
      <sheetName val="Solar chart"/>
      <sheetName val="Solar on site"/>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ow r="6">
          <cell r="J6">
            <v>0</v>
          </cell>
        </row>
      </sheetData>
      <sheetData sheetId="14">
        <row r="3">
          <cell r="E3">
            <v>49.9</v>
          </cell>
        </row>
      </sheetData>
      <sheetData sheetId="15" refreshError="1"/>
      <sheetData sheetId="16" refreshError="1"/>
      <sheetData sheetId="17" refreshError="1"/>
      <sheetData sheetId="18" refreshError="1"/>
      <sheetData sheetId="19">
        <row r="1">
          <cell r="B1">
            <v>48000.421930488832</v>
          </cell>
        </row>
      </sheetData>
      <sheetData sheetId="20">
        <row r="1">
          <cell r="BC1">
            <v>-99.992434541914321</v>
          </cell>
        </row>
      </sheetData>
      <sheetData sheetId="21">
        <row r="19">
          <cell r="E19">
            <v>3.58</v>
          </cell>
        </row>
      </sheetData>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drew@climatepositive.e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work-out-capital-allowances/rates-and-pools" TargetMode="External"/><Relationship Id="rId1" Type="http://schemas.openxmlformats.org/officeDocument/2006/relationships/hyperlink" Target="https://www.gov.uk/government/publications/rates-and-allowances-corporation-tax/rates-and-allowances-corporation-ta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
  <sheetViews>
    <sheetView workbookViewId="0">
      <selection activeCell="B5" sqref="B5"/>
    </sheetView>
  </sheetViews>
  <sheetFormatPr defaultColWidth="0" defaultRowHeight="14.5" customHeight="1" zeroHeight="1"/>
  <cols>
    <col min="1" max="1" width="4.83203125" style="2" customWidth="1"/>
    <col min="2" max="2" width="87.83203125" style="2" customWidth="1"/>
    <col min="3" max="16384" width="8" style="2" hidden="1"/>
  </cols>
  <sheetData>
    <row r="1" spans="1:2">
      <c r="A1" s="1" t="s">
        <v>0</v>
      </c>
    </row>
    <row r="2" spans="1:2">
      <c r="A2" s="3">
        <v>1</v>
      </c>
      <c r="B2" s="4" t="s">
        <v>1</v>
      </c>
    </row>
    <row r="3" spans="1:2">
      <c r="A3" s="3">
        <v>2</v>
      </c>
      <c r="B3" s="4" t="s">
        <v>2</v>
      </c>
    </row>
    <row r="4" spans="1:2" ht="15.5">
      <c r="A4" s="3">
        <v>4</v>
      </c>
      <c r="B4" s="4" t="s">
        <v>3</v>
      </c>
    </row>
    <row r="5" spans="1:2" ht="15.5">
      <c r="A5" s="3">
        <v>5</v>
      </c>
      <c r="B5" s="4" t="s">
        <v>283</v>
      </c>
    </row>
    <row r="6" spans="1:2" ht="29">
      <c r="A6" s="3">
        <v>6</v>
      </c>
      <c r="B6" s="4" t="s">
        <v>166</v>
      </c>
    </row>
    <row r="7" spans="1:2" ht="29">
      <c r="A7" s="3">
        <v>7</v>
      </c>
      <c r="B7" s="4" t="s">
        <v>290</v>
      </c>
    </row>
    <row r="8" spans="1:2">
      <c r="B8" s="197" t="s">
        <v>167</v>
      </c>
    </row>
    <row r="9" spans="1:2" ht="14.5" customHeight="1">
      <c r="A9" s="2">
        <v>8</v>
      </c>
      <c r="B9" s="2" t="s">
        <v>282</v>
      </c>
    </row>
    <row r="10" spans="1:2" ht="14.5" customHeight="1"/>
  </sheetData>
  <hyperlinks>
    <hyperlink ref="B8"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7"/>
  <sheetViews>
    <sheetView workbookViewId="0">
      <selection activeCell="G13" sqref="A1:S47"/>
    </sheetView>
  </sheetViews>
  <sheetFormatPr defaultColWidth="0" defaultRowHeight="14.5" customHeight="1" zeroHeight="1"/>
  <cols>
    <col min="1" max="1" width="3.83203125" style="3" customWidth="1"/>
    <col min="2" max="3" width="3.25" style="3" customWidth="1"/>
    <col min="4" max="4" width="3.9140625" style="3" customWidth="1"/>
    <col min="5" max="5" width="4.25" style="3" customWidth="1"/>
    <col min="6" max="6" width="51.4140625" style="3" customWidth="1"/>
    <col min="7" max="7" width="12.75" style="3" customWidth="1"/>
    <col min="8" max="10" width="9.1640625" style="3" customWidth="1"/>
    <col min="11" max="11" width="10.9140625" style="3" customWidth="1"/>
    <col min="12" max="12" width="9.1640625" style="3" customWidth="1"/>
    <col min="13" max="13" width="10.33203125" style="3" customWidth="1"/>
    <col min="14" max="15" width="9.1640625" style="3" hidden="1" customWidth="1"/>
    <col min="16" max="16" width="9.1640625" style="3" customWidth="1"/>
    <col min="17" max="17" width="28.4140625" style="3" customWidth="1"/>
    <col min="18" max="19" width="9.1640625" style="3" customWidth="1"/>
    <col min="20" max="16384" width="8.4140625" style="3" hidden="1"/>
  </cols>
  <sheetData>
    <row r="1" spans="1:17">
      <c r="A1" s="174" t="s">
        <v>237</v>
      </c>
    </row>
    <row r="2" spans="1:17">
      <c r="A2" s="3">
        <v>1</v>
      </c>
      <c r="B2" s="3" t="s">
        <v>157</v>
      </c>
    </row>
    <row r="3" spans="1:17">
      <c r="B3" s="3" t="s">
        <v>4</v>
      </c>
    </row>
    <row r="4" spans="1:17">
      <c r="B4" s="3" t="s">
        <v>5</v>
      </c>
      <c r="C4" s="3" t="s">
        <v>156</v>
      </c>
      <c r="G4" s="5" t="str">
        <f>IF('Profit and Loss'!AC65&lt;=0,"Yes","No")</f>
        <v>No</v>
      </c>
    </row>
    <row r="5" spans="1:17">
      <c r="B5" s="3" t="s">
        <v>6</v>
      </c>
      <c r="C5" s="198" t="s">
        <v>168</v>
      </c>
      <c r="G5" s="5" t="str">
        <f>IF('Profit and Loss'!AD22&gt;=0,"Yes","No")</f>
        <v>No</v>
      </c>
    </row>
    <row r="6" spans="1:17">
      <c r="G6" s="6"/>
      <c r="H6" s="6"/>
      <c r="I6" s="6"/>
    </row>
    <row r="7" spans="1:17">
      <c r="A7" s="3">
        <v>2</v>
      </c>
      <c r="B7" s="3" t="s">
        <v>7</v>
      </c>
      <c r="C7" s="7"/>
      <c r="G7" s="6"/>
      <c r="H7" s="6"/>
      <c r="I7" s="6"/>
    </row>
    <row r="8" spans="1:17">
      <c r="C8" s="7" t="s">
        <v>8</v>
      </c>
      <c r="G8" s="8">
        <v>20</v>
      </c>
      <c r="H8" s="6"/>
      <c r="I8" s="6"/>
    </row>
    <row r="9" spans="1:17">
      <c r="C9" s="229" t="s">
        <v>239</v>
      </c>
      <c r="G9" s="196" t="s">
        <v>121</v>
      </c>
      <c r="H9" s="6"/>
      <c r="I9" s="6"/>
    </row>
    <row r="10" spans="1:17">
      <c r="C10" s="166" t="s">
        <v>29</v>
      </c>
      <c r="G10" s="159">
        <v>2000</v>
      </c>
      <c r="H10" s="6" t="s">
        <v>118</v>
      </c>
      <c r="I10" s="6"/>
    </row>
    <row r="11" spans="1:17">
      <c r="C11" s="7"/>
      <c r="G11" s="11"/>
      <c r="H11" s="6"/>
      <c r="I11" s="6"/>
    </row>
    <row r="12" spans="1:17">
      <c r="A12" s="3">
        <v>3</v>
      </c>
      <c r="B12" s="3" t="s">
        <v>9</v>
      </c>
      <c r="C12" s="7"/>
      <c r="G12" s="11"/>
      <c r="H12" s="6"/>
      <c r="I12" s="6"/>
    </row>
    <row r="13" spans="1:17">
      <c r="C13" s="3" t="s">
        <v>158</v>
      </c>
      <c r="G13" s="10">
        <v>0.03</v>
      </c>
      <c r="H13" s="6"/>
      <c r="I13" s="6"/>
    </row>
    <row r="14" spans="1:17">
      <c r="C14" s="230" t="s">
        <v>240</v>
      </c>
      <c r="G14" s="231">
        <v>4.8</v>
      </c>
      <c r="H14" s="6" t="s">
        <v>197</v>
      </c>
      <c r="I14" s="6"/>
    </row>
    <row r="15" spans="1:17" ht="16.5" customHeight="1">
      <c r="C15" s="229" t="s">
        <v>242</v>
      </c>
      <c r="G15" s="238">
        <v>5</v>
      </c>
      <c r="H15" s="6" t="s">
        <v>197</v>
      </c>
      <c r="I15" s="6"/>
      <c r="Q15" s="12"/>
    </row>
    <row r="16" spans="1:17" ht="16.5" customHeight="1">
      <c r="C16" s="229" t="s">
        <v>243</v>
      </c>
      <c r="G16" s="242">
        <f>- (100% - (G14 /G15))</f>
        <v>-4.0000000000000036E-2</v>
      </c>
      <c r="H16" s="241" t="s">
        <v>244</v>
      </c>
      <c r="I16" s="6"/>
      <c r="Q16" s="12"/>
    </row>
    <row r="17" spans="1:9">
      <c r="C17" s="7" t="s">
        <v>117</v>
      </c>
      <c r="G17" s="10">
        <v>0.03</v>
      </c>
      <c r="H17" s="9"/>
      <c r="I17" s="6"/>
    </row>
    <row r="18" spans="1:9">
      <c r="C18" s="199" t="s">
        <v>169</v>
      </c>
      <c r="G18" s="10">
        <v>0.05</v>
      </c>
      <c r="H18" s="9"/>
      <c r="I18" s="6"/>
    </row>
    <row r="19" spans="1:9">
      <c r="A19" s="3">
        <v>4</v>
      </c>
      <c r="B19" s="3" t="s">
        <v>10</v>
      </c>
    </row>
    <row r="20" spans="1:9" ht="22.5" customHeight="1">
      <c r="B20" s="3" t="s">
        <v>11</v>
      </c>
      <c r="C20" s="311" t="s">
        <v>12</v>
      </c>
      <c r="D20" s="311"/>
      <c r="E20" s="311"/>
      <c r="F20" s="311"/>
      <c r="G20" s="311"/>
    </row>
    <row r="21" spans="1:9" ht="36.5" customHeight="1">
      <c r="B21" s="3" t="s">
        <v>13</v>
      </c>
      <c r="C21" s="311" t="s">
        <v>14</v>
      </c>
      <c r="D21" s="311"/>
      <c r="E21" s="311"/>
      <c r="F21" s="311"/>
      <c r="G21" s="311"/>
    </row>
    <row r="22" spans="1:9" ht="45.5" customHeight="1">
      <c r="B22" s="3" t="s">
        <v>15</v>
      </c>
      <c r="C22" s="312" t="s">
        <v>161</v>
      </c>
      <c r="D22" s="312"/>
      <c r="E22" s="312"/>
      <c r="F22" s="312"/>
      <c r="G22" s="312"/>
    </row>
    <row r="23" spans="1:9" ht="45.5" customHeight="1">
      <c r="B23" s="3" t="s">
        <v>16</v>
      </c>
      <c r="C23" s="312" t="s">
        <v>162</v>
      </c>
      <c r="D23" s="312"/>
      <c r="E23" s="312"/>
      <c r="F23" s="312"/>
      <c r="G23" s="312"/>
    </row>
    <row r="24" spans="1:9"/>
    <row r="25" spans="1:9"/>
    <row r="26" spans="1:9"/>
    <row r="27" spans="1:9"/>
    <row r="28" spans="1:9"/>
    <row r="29" spans="1:9" ht="14.5" customHeight="1"/>
    <row r="30" spans="1:9" ht="14.5" customHeight="1"/>
    <row r="31" spans="1:9" ht="14.5" customHeight="1"/>
    <row r="32" spans="1:9" ht="14.5" customHeight="1"/>
    <row r="33" ht="14.5" customHeight="1"/>
    <row r="34" ht="14.5" customHeight="1"/>
    <row r="35" ht="14.5" customHeight="1"/>
    <row r="36" ht="14.5" customHeight="1"/>
    <row r="37" ht="14.5" customHeight="1"/>
    <row r="38" ht="14.5" customHeight="1"/>
    <row r="39" ht="14.5" customHeight="1"/>
    <row r="40" ht="14.5" customHeight="1"/>
    <row r="41" ht="14.5" customHeight="1"/>
    <row r="42" ht="14.5" customHeight="1"/>
    <row r="43" ht="14.5" customHeight="1"/>
    <row r="44" ht="14.5" customHeight="1"/>
    <row r="45" ht="14.5" customHeight="1"/>
    <row r="46" ht="14.5" customHeight="1"/>
    <row r="47" ht="14.5" customHeight="1"/>
  </sheetData>
  <mergeCells count="4">
    <mergeCell ref="C20:G20"/>
    <mergeCell ref="C21:G21"/>
    <mergeCell ref="C22:G22"/>
    <mergeCell ref="C23:G23"/>
  </mergeCells>
  <conditionalFormatting sqref="G4:G5">
    <cfRule type="containsText" dxfId="5" priority="2" operator="containsText" text="No">
      <formula>NOT(ISERROR(SEARCH("No",G4)))</formula>
    </cfRule>
    <cfRule type="containsText" dxfId="4" priority="3" operator="containsText" text="Yes">
      <formula>NOT(ISERROR(SEARCH("Yes",G4)))</formula>
    </cfRule>
  </conditionalFormatting>
  <conditionalFormatting sqref="G16">
    <cfRule type="cellIs" dxfId="3" priority="1" operator="lessThan">
      <formula>0</formula>
    </cfRule>
  </conditionalFormatting>
  <dataValidations count="1">
    <dataValidation type="list" allowBlank="1" showInputMessage="1" showErrorMessage="1" sqref="G9">
      <formula1>yesno</formula1>
    </dataValidation>
  </dataValidations>
  <pageMargins left="0.25" right="0.28999999999999998" top="0.44" bottom="0.34" header="0.3" footer="0.3"/>
  <pageSetup paperSize="9" scale="93"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44"/>
  <sheetViews>
    <sheetView workbookViewId="0"/>
  </sheetViews>
  <sheetFormatPr defaultColWidth="0" defaultRowHeight="14.5" customHeight="1" zeroHeight="1"/>
  <cols>
    <col min="1" max="1" width="35.1640625" style="2" customWidth="1"/>
    <col min="2" max="10" width="11.5" style="2" customWidth="1"/>
    <col min="11" max="11" width="4.33203125" style="2" customWidth="1"/>
    <col min="12" max="12" width="0" style="2" hidden="1" customWidth="1"/>
    <col min="13" max="16384" width="8" style="2" hidden="1"/>
  </cols>
  <sheetData>
    <row r="1" spans="1:11" ht="15.5">
      <c r="A1" s="177" t="s">
        <v>281</v>
      </c>
      <c r="B1" s="176"/>
      <c r="C1" s="176"/>
      <c r="D1" s="176"/>
      <c r="E1" s="176"/>
      <c r="F1" s="175"/>
      <c r="G1" s="175"/>
      <c r="H1" s="175"/>
      <c r="I1" s="175"/>
      <c r="J1" s="175"/>
      <c r="K1" s="175"/>
    </row>
    <row r="2" spans="1:11" ht="15.5">
      <c r="A2" s="177" t="s">
        <v>18</v>
      </c>
      <c r="B2" s="175"/>
      <c r="C2" s="175"/>
      <c r="D2" s="175"/>
      <c r="E2" s="175"/>
      <c r="F2" s="175"/>
      <c r="G2" s="175"/>
      <c r="H2" s="175"/>
      <c r="I2" s="175"/>
      <c r="J2" s="175"/>
      <c r="K2" s="175"/>
    </row>
    <row r="3" spans="1:11" s="15" customFormat="1" ht="15.5">
      <c r="A3" s="178" t="s">
        <v>19</v>
      </c>
      <c r="B3" s="179"/>
      <c r="C3" s="179"/>
      <c r="D3" s="179"/>
      <c r="E3" s="179"/>
      <c r="F3" s="179"/>
      <c r="G3" s="179"/>
      <c r="H3" s="179"/>
      <c r="I3" s="179"/>
      <c r="J3" s="179"/>
      <c r="K3" s="179"/>
    </row>
    <row r="4" spans="1:11" s="15" customFormat="1" ht="15.5">
      <c r="A4" s="180" t="s">
        <v>41</v>
      </c>
      <c r="B4" s="181">
        <f>'Profit and Loss'!J5</f>
        <v>1</v>
      </c>
      <c r="C4" s="181">
        <f>'Profit and Loss'!K5</f>
        <v>2</v>
      </c>
      <c r="D4" s="181">
        <f>'Profit and Loss'!L5</f>
        <v>3</v>
      </c>
      <c r="E4" s="181">
        <f>'Profit and Loss'!M5</f>
        <v>4</v>
      </c>
      <c r="F4" s="181">
        <f>'Profit and Loss'!N5</f>
        <v>5</v>
      </c>
      <c r="G4" s="182" t="s">
        <v>20</v>
      </c>
      <c r="H4" s="182" t="s">
        <v>21</v>
      </c>
      <c r="I4" s="182" t="s">
        <v>22</v>
      </c>
      <c r="J4" s="182" t="s">
        <v>23</v>
      </c>
      <c r="K4" s="179"/>
    </row>
    <row r="5" spans="1:11" s="15" customFormat="1" ht="15" customHeight="1">
      <c r="A5" s="183" t="s">
        <v>24</v>
      </c>
      <c r="B5" s="184"/>
      <c r="C5" s="184"/>
      <c r="D5" s="184"/>
      <c r="E5" s="184"/>
      <c r="F5" s="184"/>
      <c r="G5" s="184"/>
      <c r="H5" s="184"/>
      <c r="I5" s="184"/>
      <c r="J5" s="184"/>
      <c r="K5" s="179"/>
    </row>
    <row r="6" spans="1:11" s="15" customFormat="1" ht="15.5">
      <c r="A6" s="185" t="s">
        <v>171</v>
      </c>
      <c r="B6" s="184">
        <f>'Profit and Loss'!J9</f>
        <v>4351.1999505680005</v>
      </c>
      <c r="C6" s="184">
        <f>'Profit and Loss'!K9</f>
        <v>4481.7359490850404</v>
      </c>
      <c r="D6" s="184">
        <f>'Profit and Loss'!L9</f>
        <v>4616.1880275575913</v>
      </c>
      <c r="E6" s="184">
        <f>'Profit and Loss'!M9</f>
        <v>4754.6736683843192</v>
      </c>
      <c r="F6" s="184">
        <f>'Profit and Loss'!N9</f>
        <v>4897.3138784358489</v>
      </c>
      <c r="G6" s="184">
        <f>SUM('Profit and Loss'!O9:S9)</f>
        <v>26780.519619358161</v>
      </c>
      <c r="H6" s="184">
        <f>SUM('Profit and Loss'!T9:X9)</f>
        <v>31045.962091004421</v>
      </c>
      <c r="I6" s="184">
        <f>SUM('Profit and Loss'!Y9:AC9)</f>
        <v>35990.77896380204</v>
      </c>
      <c r="J6" s="184">
        <f>SUM(B6:I6)</f>
        <v>116918.37214819543</v>
      </c>
      <c r="K6" s="186">
        <f>J6 - 'Profit and Loss'!AD9</f>
        <v>0</v>
      </c>
    </row>
    <row r="7" spans="1:11" s="15" customFormat="1" ht="15.5">
      <c r="A7" s="187" t="s">
        <v>25</v>
      </c>
      <c r="B7" s="184">
        <f>'Profit and Loss'!J10</f>
        <v>5879.9999331999998</v>
      </c>
      <c r="C7" s="184">
        <f>'Profit and Loss'!K10</f>
        <v>6144.5999301940001</v>
      </c>
      <c r="D7" s="184">
        <f>'Profit and Loss'!L10</f>
        <v>6421.1069270527287</v>
      </c>
      <c r="E7" s="184">
        <f>'Profit and Loss'!M10</f>
        <v>6710.0567387701012</v>
      </c>
      <c r="F7" s="184">
        <f>'Profit and Loss'!N10</f>
        <v>7012.0092920147554</v>
      </c>
      <c r="G7" s="184">
        <f>SUM('Profit and Loss'!O10:S10)</f>
        <v>40086.897464347887</v>
      </c>
      <c r="H7" s="184">
        <f>SUM('Profit and Loss'!T10:X10)</f>
        <v>49955.56755662318</v>
      </c>
      <c r="I7" s="184">
        <f>SUM('Profit and Loss'!Y10:AC10)</f>
        <v>62253.725974274246</v>
      </c>
      <c r="J7" s="184">
        <f>SUM(B7:I7)</f>
        <v>184463.9638164769</v>
      </c>
      <c r="K7" s="186">
        <f>J7 - 'Profit and Loss'!AD10</f>
        <v>0</v>
      </c>
    </row>
    <row r="8" spans="1:11" s="15" customFormat="1" ht="15.5">
      <c r="A8" s="188" t="s">
        <v>26</v>
      </c>
      <c r="B8" s="184">
        <f>SUM(B6:B7)</f>
        <v>10231.199883768</v>
      </c>
      <c r="C8" s="184">
        <f t="shared" ref="C8:I8" si="0">SUM(C6:C7)</f>
        <v>10626.33587927904</v>
      </c>
      <c r="D8" s="184">
        <f t="shared" si="0"/>
        <v>11037.294954610319</v>
      </c>
      <c r="E8" s="184">
        <f t="shared" si="0"/>
        <v>11464.73040715442</v>
      </c>
      <c r="F8" s="184">
        <f t="shared" si="0"/>
        <v>11909.323170450603</v>
      </c>
      <c r="G8" s="184">
        <f t="shared" si="0"/>
        <v>66867.417083706052</v>
      </c>
      <c r="H8" s="184">
        <f t="shared" si="0"/>
        <v>81001.529647627598</v>
      </c>
      <c r="I8" s="184">
        <f t="shared" si="0"/>
        <v>98244.504938076279</v>
      </c>
      <c r="J8" s="184">
        <f>SUM(B8:I8)</f>
        <v>301382.33596467227</v>
      </c>
      <c r="K8" s="186">
        <f>J8 - 'Profit and Loss'!AD11</f>
        <v>0</v>
      </c>
    </row>
    <row r="9" spans="1:11" s="19" customFormat="1" ht="13.5" customHeight="1">
      <c r="A9" s="189" t="s">
        <v>27</v>
      </c>
      <c r="B9" s="190"/>
      <c r="C9" s="190"/>
      <c r="D9" s="190"/>
      <c r="E9" s="190"/>
      <c r="F9" s="190"/>
      <c r="G9" s="190"/>
      <c r="H9" s="190"/>
      <c r="I9" s="190"/>
      <c r="J9" s="190"/>
      <c r="K9" s="186">
        <f>J9 - 'Profit and Loss'!AD12</f>
        <v>0</v>
      </c>
    </row>
    <row r="10" spans="1:11" s="19" customFormat="1" ht="13.5" customHeight="1">
      <c r="A10" s="191" t="s">
        <v>214</v>
      </c>
      <c r="B10" s="184">
        <f>'Profit and Loss'!J13</f>
        <v>7055.9999198400001</v>
      </c>
      <c r="C10" s="184">
        <f>'Profit and Loss'!K13</f>
        <v>7594.7255137197844</v>
      </c>
      <c r="D10" s="184">
        <f>'Profit and Loss'!L13</f>
        <v>7990.4254600244185</v>
      </c>
      <c r="E10" s="184">
        <f>'Profit and Loss'!M13</f>
        <v>8406.3590823311861</v>
      </c>
      <c r="F10" s="184">
        <f>'Profit and Loss'!N13</f>
        <v>8843.5461190890128</v>
      </c>
      <c r="G10" s="184">
        <f>SUM('Profit and Loss'!O13:S13)</f>
        <v>51597.40364500499</v>
      </c>
      <c r="H10" s="184">
        <f>SUM('Profit and Loss'!T13:X13)</f>
        <v>66397.886289580929</v>
      </c>
      <c r="I10" s="184">
        <f>SUM('Profit and Loss'!Y13:AC13)</f>
        <v>85358.503083341333</v>
      </c>
      <c r="J10" s="184">
        <f t="shared" ref="J10" si="1">SUM(B10:I10)</f>
        <v>243244.84911293164</v>
      </c>
      <c r="K10" s="186">
        <f>J10 - 'Profit and Loss'!AD13</f>
        <v>0</v>
      </c>
    </row>
    <row r="11" spans="1:11" s="15" customFormat="1" ht="15.5">
      <c r="A11" s="191" t="s">
        <v>28</v>
      </c>
      <c r="B11" s="184">
        <f>'Profit and Loss'!J14</f>
        <v>911.70000000000073</v>
      </c>
      <c r="C11" s="184">
        <f>'Profit and Loss'!K14</f>
        <v>8458.0510000000013</v>
      </c>
      <c r="D11" s="184">
        <f>'Profit and Loss'!L14</f>
        <v>8711.7925300000006</v>
      </c>
      <c r="E11" s="184">
        <f>'Profit and Loss'!M14</f>
        <v>8973.1463058999998</v>
      </c>
      <c r="F11" s="184">
        <f>'Profit and Loss'!N14</f>
        <v>9242.3406950770004</v>
      </c>
      <c r="G11" s="184">
        <f>SUM('Profit and Loss'!O14:S14)</f>
        <v>50540.907211027203</v>
      </c>
      <c r="H11" s="184">
        <f>SUM('Profit and Loss'!T14:X14)</f>
        <v>58590.763421345757</v>
      </c>
      <c r="I11" s="184">
        <f>SUM('Profit and Loss'!Y14:AC14)</f>
        <v>67922.753027810904</v>
      </c>
      <c r="J11" s="184">
        <f t="shared" ref="J11" si="2">SUM(B11:I11)</f>
        <v>213351.45419116085</v>
      </c>
      <c r="K11" s="186">
        <f>J11 - 'Profit and Loss'!AD14</f>
        <v>0</v>
      </c>
    </row>
    <row r="12" spans="1:11" s="15" customFormat="1" ht="15.5">
      <c r="A12" s="185" t="s">
        <v>238</v>
      </c>
      <c r="B12" s="184">
        <f>'Profit and Loss'!J15</f>
        <v>200</v>
      </c>
      <c r="C12" s="184">
        <f>'Profit and Loss'!K15</f>
        <v>200</v>
      </c>
      <c r="D12" s="184">
        <f>'Profit and Loss'!L15</f>
        <v>200</v>
      </c>
      <c r="E12" s="184">
        <f>'Profit and Loss'!M15</f>
        <v>200</v>
      </c>
      <c r="F12" s="184">
        <f>'Profit and Loss'!N15</f>
        <v>200</v>
      </c>
      <c r="G12" s="184">
        <f>SUM('Profit and Loss'!O15:S15)</f>
        <v>1000</v>
      </c>
      <c r="H12" s="184">
        <f>SUM('Profit and Loss'!T15:X15)</f>
        <v>1000</v>
      </c>
      <c r="I12" s="184">
        <f>SUM('Profit and Loss'!Y15:AC15)</f>
        <v>800</v>
      </c>
      <c r="J12" s="184">
        <f t="shared" ref="J12:J19" si="3">SUM(B12:I12)</f>
        <v>3800</v>
      </c>
      <c r="K12" s="186">
        <f>J12 - 'Profit and Loss'!AD15</f>
        <v>0</v>
      </c>
    </row>
    <row r="13" spans="1:11" s="15" customFormat="1" ht="15.5">
      <c r="A13" s="191" t="s">
        <v>29</v>
      </c>
      <c r="B13" s="184">
        <f>'Profit and Loss'!J16</f>
        <v>4000</v>
      </c>
      <c r="C13" s="184">
        <f>'Profit and Loss'!K16</f>
        <v>2060</v>
      </c>
      <c r="D13" s="184">
        <f>'Profit and Loss'!L16</f>
        <v>2121.8000000000002</v>
      </c>
      <c r="E13" s="184">
        <f>'Profit and Loss'!M16</f>
        <v>2185.4540000000002</v>
      </c>
      <c r="F13" s="184">
        <f>'Profit and Loss'!N16</f>
        <v>2251.0176200000001</v>
      </c>
      <c r="G13" s="184">
        <f>SUM('Profit and Loss'!O16:S16)</f>
        <v>12309.487002941461</v>
      </c>
      <c r="H13" s="184">
        <f>SUM('Profit and Loss'!T16:X16)</f>
        <v>14270.069150442843</v>
      </c>
      <c r="I13" s="184">
        <f>SUM('Profit and Loss'!Y16:AC16)</f>
        <v>16542.921204576611</v>
      </c>
      <c r="J13" s="184">
        <f t="shared" si="3"/>
        <v>55740.748977960917</v>
      </c>
      <c r="K13" s="186">
        <f>J13 - 'Profit and Loss'!AD16</f>
        <v>0</v>
      </c>
    </row>
    <row r="14" spans="1:11" s="15" customFormat="1" ht="15.5">
      <c r="A14" s="188" t="s">
        <v>30</v>
      </c>
      <c r="B14" s="184">
        <f>'Profit and Loss'!J17</f>
        <v>12167.699919840001</v>
      </c>
      <c r="C14" s="184">
        <f>'Profit and Loss'!K17</f>
        <v>18312.776513719786</v>
      </c>
      <c r="D14" s="184">
        <f>'Profit and Loss'!L17</f>
        <v>19024.017990024418</v>
      </c>
      <c r="E14" s="184">
        <f>'Profit and Loss'!M17</f>
        <v>19764.959388231186</v>
      </c>
      <c r="F14" s="184">
        <f>'Profit and Loss'!N17</f>
        <v>20536.904434166012</v>
      </c>
      <c r="G14" s="184">
        <f>SUM('Profit and Loss'!O17:S17)</f>
        <v>115447.79785897364</v>
      </c>
      <c r="H14" s="184">
        <f>SUM('Profit and Loss'!T17:X17)</f>
        <v>140258.71886136953</v>
      </c>
      <c r="I14" s="184">
        <f>SUM('Profit and Loss'!Y17:AC17)</f>
        <v>170624.17731572886</v>
      </c>
      <c r="J14" s="184">
        <f t="shared" si="3"/>
        <v>516137.0522820534</v>
      </c>
      <c r="K14" s="186">
        <f>J14 - 'Profit and Loss'!AD17</f>
        <v>0</v>
      </c>
    </row>
    <row r="15" spans="1:11" s="15" customFormat="1" ht="15.5">
      <c r="A15" s="188" t="s">
        <v>31</v>
      </c>
      <c r="B15" s="184">
        <f>'Profit and Loss'!J18</f>
        <v>-1936.5000360720005</v>
      </c>
      <c r="C15" s="184">
        <f>'Profit and Loss'!K18</f>
        <v>-7686.4406344407453</v>
      </c>
      <c r="D15" s="184">
        <f>'Profit and Loss'!L18</f>
        <v>-7986.7230354140993</v>
      </c>
      <c r="E15" s="184">
        <f>'Profit and Loss'!M18</f>
        <v>-8300.2289810767652</v>
      </c>
      <c r="F15" s="184">
        <f>'Profit and Loss'!N18</f>
        <v>-8627.5812637154086</v>
      </c>
      <c r="G15" s="184">
        <f>SUM('Profit and Loss'!O18:S18)</f>
        <v>-48580.380775267608</v>
      </c>
      <c r="H15" s="184">
        <f>SUM('Profit and Loss'!T18:X18)</f>
        <v>-59257.18921374192</v>
      </c>
      <c r="I15" s="184">
        <f>SUM('Profit and Loss'!Y18:AC18)</f>
        <v>-72379.672377652561</v>
      </c>
      <c r="J15" s="184">
        <f t="shared" si="3"/>
        <v>-214754.71631738113</v>
      </c>
      <c r="K15" s="186">
        <f>J15 - 'Profit and Loss'!AD18</f>
        <v>0</v>
      </c>
    </row>
    <row r="16" spans="1:11" s="15" customFormat="1" ht="15.5">
      <c r="A16" s="192" t="s">
        <v>32</v>
      </c>
      <c r="B16" s="184">
        <f>'Profit and Loss'!J19</f>
        <v>0</v>
      </c>
      <c r="C16" s="184">
        <f>'Profit and Loss'!K19</f>
        <v>4578.5999999999995</v>
      </c>
      <c r="D16" s="184">
        <f>'Profit and Loss'!L19</f>
        <v>4578.5999999999995</v>
      </c>
      <c r="E16" s="184">
        <f>'Profit and Loss'!M19</f>
        <v>4578.5999999999995</v>
      </c>
      <c r="F16" s="184">
        <f>'Profit and Loss'!N19</f>
        <v>4578.5999999999995</v>
      </c>
      <c r="G16" s="184">
        <f>SUM('Profit and Loss'!O19:S19)</f>
        <v>22892.999999999996</v>
      </c>
      <c r="H16" s="184">
        <f>SUM('Profit and Loss'!T19:X19)</f>
        <v>22892.999999999996</v>
      </c>
      <c r="I16" s="184">
        <f>SUM('Profit and Loss'!Y19:AC19)</f>
        <v>22892.999999999996</v>
      </c>
      <c r="J16" s="184">
        <f t="shared" si="3"/>
        <v>86993.4</v>
      </c>
      <c r="K16" s="186">
        <f>J16 - 'Profit and Loss'!AD19</f>
        <v>0</v>
      </c>
    </row>
    <row r="17" spans="1:11" s="15" customFormat="1" ht="15.5">
      <c r="A17" s="193" t="s">
        <v>33</v>
      </c>
      <c r="B17" s="184">
        <f>'Profit and Loss'!J20</f>
        <v>-1936.5000360720005</v>
      </c>
      <c r="C17" s="184">
        <f>'Profit and Loss'!K20</f>
        <v>-12265.040634440746</v>
      </c>
      <c r="D17" s="184">
        <f>'Profit and Loss'!L20</f>
        <v>-12565.323035414098</v>
      </c>
      <c r="E17" s="184">
        <f>'Profit and Loss'!M20</f>
        <v>-12878.828981076764</v>
      </c>
      <c r="F17" s="184">
        <f>'Profit and Loss'!N20</f>
        <v>-13206.181263715407</v>
      </c>
      <c r="G17" s="184">
        <f>SUM('Profit and Loss'!O20:S20)</f>
        <v>-71473.380775267608</v>
      </c>
      <c r="H17" s="184">
        <f>SUM('Profit and Loss'!T20:X20)</f>
        <v>-82150.18921374192</v>
      </c>
      <c r="I17" s="184">
        <f>SUM('Profit and Loss'!Y20:AC20)</f>
        <v>-95272.672377652561</v>
      </c>
      <c r="J17" s="184">
        <f t="shared" si="3"/>
        <v>-301748.11631738109</v>
      </c>
      <c r="K17" s="186">
        <f>J17 - 'Profit and Loss'!AD20</f>
        <v>0</v>
      </c>
    </row>
    <row r="18" spans="1:11" ht="15.5">
      <c r="A18" s="195" t="str">
        <f>'Profit and Loss'!D21</f>
        <v>Corporation tax</v>
      </c>
      <c r="B18" s="184">
        <f>'Profit and Loss'!J21</f>
        <v>0</v>
      </c>
      <c r="C18" s="184">
        <f>'Profit and Loss'!K21</f>
        <v>0</v>
      </c>
      <c r="D18" s="184">
        <f>'Profit and Loss'!L21</f>
        <v>0</v>
      </c>
      <c r="E18" s="184">
        <f>'Profit and Loss'!M21</f>
        <v>0</v>
      </c>
      <c r="F18" s="184">
        <f>'Profit and Loss'!N21</f>
        <v>0</v>
      </c>
      <c r="G18" s="184">
        <f>SUM('Profit and Loss'!O21:S21)</f>
        <v>0</v>
      </c>
      <c r="H18" s="184">
        <f>SUM('Profit and Loss'!T21:X21)</f>
        <v>0</v>
      </c>
      <c r="I18" s="184">
        <f>SUM('Profit and Loss'!Y21:AC21)</f>
        <v>0</v>
      </c>
      <c r="J18" s="184">
        <f t="shared" si="3"/>
        <v>0</v>
      </c>
      <c r="K18" s="186">
        <f>J18 - 'Profit and Loss'!AD21</f>
        <v>0</v>
      </c>
    </row>
    <row r="19" spans="1:11" ht="15.5">
      <c r="A19" s="194" t="str">
        <f>'Profit and Loss'!C22</f>
        <v>Net profit after tax</v>
      </c>
      <c r="B19" s="184">
        <f>'Profit and Loss'!J22</f>
        <v>-1936.5000360720005</v>
      </c>
      <c r="C19" s="184">
        <f>'Profit and Loss'!K22</f>
        <v>-12265.040634440746</v>
      </c>
      <c r="D19" s="184">
        <f>'Profit and Loss'!L22</f>
        <v>-12565.323035414098</v>
      </c>
      <c r="E19" s="184">
        <f>'Profit and Loss'!M22</f>
        <v>-12878.828981076764</v>
      </c>
      <c r="F19" s="184">
        <f>'Profit and Loss'!N22</f>
        <v>-13206.181263715407</v>
      </c>
      <c r="G19" s="184">
        <f>SUM('Profit and Loss'!O22:S22)</f>
        <v>-71473.380775267608</v>
      </c>
      <c r="H19" s="184">
        <f>SUM('Profit and Loss'!T22:X22)</f>
        <v>-82150.18921374192</v>
      </c>
      <c r="I19" s="184">
        <f>SUM('Profit and Loss'!Y22:AC22)</f>
        <v>-95272.672377652561</v>
      </c>
      <c r="J19" s="184">
        <f t="shared" si="3"/>
        <v>-301748.11631738109</v>
      </c>
      <c r="K19" s="186">
        <f>J19 - 'Profit and Loss'!AD22</f>
        <v>0</v>
      </c>
    </row>
    <row r="20" spans="1:11"/>
    <row r="21" spans="1:11" ht="14.5" customHeight="1"/>
    <row r="22" spans="1:11" ht="14.5" customHeight="1"/>
    <row r="23" spans="1:11" ht="14.5" customHeight="1"/>
    <row r="24" spans="1:11" ht="14.5" customHeight="1"/>
    <row r="25" spans="1:11" ht="14.5" customHeight="1"/>
    <row r="26" spans="1:11" ht="14.5" customHeight="1"/>
    <row r="27" spans="1:11" ht="14.5" customHeight="1"/>
    <row r="28" spans="1:11" ht="14.5" customHeight="1"/>
    <row r="29" spans="1:11" ht="14.5" customHeight="1"/>
    <row r="30" spans="1:11" ht="14.5" customHeight="1"/>
    <row r="31" spans="1:11" ht="14.5" customHeight="1"/>
    <row r="32" spans="1:11" ht="14.5" customHeight="1"/>
    <row r="33" ht="14.5" customHeight="1"/>
    <row r="34" ht="14.5" customHeight="1"/>
    <row r="35" ht="14.5" customHeight="1"/>
    <row r="36" ht="14.5" customHeight="1"/>
    <row r="37" ht="14.5" customHeight="1"/>
    <row r="38" ht="14.5" customHeight="1"/>
    <row r="39" ht="14.5" customHeight="1"/>
    <row r="40" ht="14.5" customHeight="1"/>
    <row r="41" ht="14.5" customHeight="1"/>
    <row r="42" ht="14.5" customHeight="1"/>
    <row r="43" ht="14.5" customHeight="1"/>
    <row r="44" ht="14.5" customHeight="1"/>
  </sheetData>
  <conditionalFormatting sqref="B4:J19">
    <cfRule type="cellIs" dxfId="2" priority="2" operator="lessThan">
      <formula>0</formula>
    </cfRule>
  </conditionalFormatting>
  <conditionalFormatting sqref="K6:K19">
    <cfRule type="cellIs" dxfId="1" priority="1" operator="notEqual">
      <formula>0</formula>
    </cfRule>
  </conditionalFormatting>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238"/>
  <sheetViews>
    <sheetView zoomScaleNormal="100" workbookViewId="0">
      <selection activeCell="I32" sqref="I32"/>
    </sheetView>
  </sheetViews>
  <sheetFormatPr defaultColWidth="6.9140625" defaultRowHeight="10"/>
  <cols>
    <col min="1" max="1" width="2.58203125" style="14" customWidth="1"/>
    <col min="2" max="4" width="3.4140625" style="14" customWidth="1"/>
    <col min="5" max="5" width="3.33203125" style="14" customWidth="1"/>
    <col min="6" max="6" width="4.6640625" style="14" customWidth="1"/>
    <col min="7" max="7" width="10.4140625" style="42" customWidth="1"/>
    <col min="8" max="8" width="9.6640625" style="14" customWidth="1"/>
    <col min="9" max="9" width="8.33203125" style="70" customWidth="1"/>
    <col min="10" max="10" width="7.9140625" style="70" customWidth="1"/>
    <col min="11" max="12" width="7.33203125" style="14" customWidth="1"/>
    <col min="13" max="13" width="5.75" style="14" customWidth="1"/>
    <col min="14" max="29" width="7.33203125" style="14" customWidth="1"/>
    <col min="30" max="30" width="7.4140625" style="14" customWidth="1"/>
    <col min="31" max="31" width="8.75" style="14" customWidth="1"/>
    <col min="32" max="32" width="13.5" style="14" customWidth="1"/>
    <col min="33" max="33" width="13" style="14" customWidth="1"/>
    <col min="34" max="34" width="9.5" style="14" customWidth="1"/>
    <col min="35" max="35" width="8.83203125" style="14" customWidth="1"/>
    <col min="36" max="16384" width="6.9140625" style="14"/>
  </cols>
  <sheetData>
    <row r="1" spans="1:33" ht="13">
      <c r="G1" s="314"/>
      <c r="H1" s="314"/>
      <c r="I1" s="314"/>
      <c r="J1" s="314"/>
      <c r="K1" s="314"/>
      <c r="L1" s="314"/>
      <c r="M1" s="314"/>
      <c r="N1" s="314"/>
      <c r="O1" s="314"/>
      <c r="P1" s="314"/>
      <c r="Q1" s="314"/>
      <c r="R1" s="314"/>
      <c r="S1" s="314"/>
      <c r="T1" s="314"/>
      <c r="U1" s="314"/>
      <c r="V1" s="314"/>
      <c r="W1" s="314"/>
      <c r="X1" s="314"/>
      <c r="Y1" s="314"/>
      <c r="Z1" s="314"/>
      <c r="AA1" s="314"/>
      <c r="AB1" s="314"/>
      <c r="AC1" s="314"/>
      <c r="AD1" s="314"/>
      <c r="AE1" s="21"/>
      <c r="AF1" s="22"/>
      <c r="AG1" s="22"/>
    </row>
    <row r="2" spans="1:33" ht="13">
      <c r="G2" s="23"/>
      <c r="H2" s="24"/>
      <c r="I2" s="25"/>
      <c r="J2" s="24"/>
      <c r="K2" s="26"/>
      <c r="L2" s="314"/>
      <c r="M2" s="314"/>
      <c r="N2" s="314"/>
      <c r="O2" s="314"/>
      <c r="P2" s="314"/>
      <c r="Q2" s="314"/>
      <c r="R2" s="315" t="str">
        <f ca="1">IF(ISERROR(RIGHT(CELL("filename",$G$1),LEN(CELL("filename",$G$1))-FIND("]",CELL("filename",$G$1)))),"This workbook never saved",RIGHT(CELL("filename",$G$1),LEN(CELL("filename",$G$1))-FIND("]",CELL("filename",$G$1))))</f>
        <v>Profit and Loss</v>
      </c>
      <c r="S2" s="315"/>
      <c r="T2" s="315"/>
      <c r="U2" s="315"/>
      <c r="V2" s="26"/>
      <c r="W2" s="26"/>
      <c r="X2" s="26"/>
      <c r="Y2" s="26"/>
      <c r="Z2" s="26"/>
      <c r="AA2" s="26"/>
      <c r="AB2" s="26"/>
      <c r="AC2" s="26"/>
      <c r="AD2" s="21"/>
      <c r="AE2" s="22"/>
      <c r="AF2" s="22"/>
    </row>
    <row r="3" spans="1:33" ht="10.5">
      <c r="G3" s="27" t="s">
        <v>34</v>
      </c>
      <c r="H3" s="28" t="s">
        <v>35</v>
      </c>
      <c r="I3" s="29"/>
      <c r="J3" s="29"/>
      <c r="K3" s="30"/>
      <c r="L3" s="31" t="s">
        <v>36</v>
      </c>
      <c r="M3" s="31"/>
      <c r="N3" s="32"/>
      <c r="O3" s="33"/>
      <c r="P3" s="34" t="s">
        <v>37</v>
      </c>
      <c r="Q3" s="35"/>
      <c r="R3" s="35"/>
      <c r="S3" s="33"/>
      <c r="T3" s="36" t="s">
        <v>38</v>
      </c>
      <c r="U3" s="37"/>
      <c r="V3" s="38"/>
      <c r="W3" s="39"/>
      <c r="AB3" s="33"/>
      <c r="AC3" s="24"/>
      <c r="AD3" s="21"/>
      <c r="AE3" s="22"/>
      <c r="AF3" s="22"/>
    </row>
    <row r="4" spans="1:33" ht="10.5">
      <c r="G4" s="40" t="s">
        <v>39</v>
      </c>
      <c r="H4" s="264" t="s">
        <v>40</v>
      </c>
      <c r="I4" s="265">
        <v>2018</v>
      </c>
      <c r="J4" s="21"/>
      <c r="K4" s="21"/>
      <c r="L4" s="21"/>
      <c r="M4" s="21"/>
      <c r="N4" s="21"/>
      <c r="O4" s="21"/>
      <c r="P4" s="21"/>
      <c r="Q4" s="21"/>
      <c r="R4" s="21"/>
      <c r="S4" s="17"/>
      <c r="T4" s="17"/>
      <c r="U4" s="17"/>
      <c r="V4" s="17"/>
      <c r="W4" s="20"/>
      <c r="X4" s="21"/>
      <c r="Y4" s="21"/>
      <c r="Z4" s="24"/>
      <c r="AA4" s="25"/>
      <c r="AB4" s="41"/>
      <c r="AC4" s="17"/>
      <c r="AD4" s="17"/>
      <c r="AE4" s="22"/>
      <c r="AF4" s="22"/>
      <c r="AG4" s="22"/>
    </row>
    <row r="5" spans="1:33" ht="10.5">
      <c r="H5" s="43" t="s">
        <v>41</v>
      </c>
      <c r="I5" s="204"/>
      <c r="J5" s="204">
        <v>1</v>
      </c>
      <c r="K5" s="204">
        <v>2</v>
      </c>
      <c r="L5" s="204">
        <v>3</v>
      </c>
      <c r="M5" s="204">
        <v>4</v>
      </c>
      <c r="N5" s="204">
        <v>5</v>
      </c>
      <c r="O5" s="204">
        <v>6</v>
      </c>
      <c r="P5" s="204">
        <v>7</v>
      </c>
      <c r="Q5" s="204">
        <v>8</v>
      </c>
      <c r="R5" s="204">
        <v>9</v>
      </c>
      <c r="S5" s="204">
        <v>10</v>
      </c>
      <c r="T5" s="204">
        <v>11</v>
      </c>
      <c r="U5" s="204">
        <v>12</v>
      </c>
      <c r="V5" s="204">
        <v>13</v>
      </c>
      <c r="W5" s="204">
        <v>14</v>
      </c>
      <c r="X5" s="204">
        <v>15</v>
      </c>
      <c r="Y5" s="204">
        <v>16</v>
      </c>
      <c r="Z5" s="204">
        <v>17</v>
      </c>
      <c r="AA5" s="204">
        <v>18</v>
      </c>
      <c r="AB5" s="204">
        <v>19</v>
      </c>
      <c r="AC5" s="204">
        <v>20</v>
      </c>
      <c r="AD5" s="44"/>
      <c r="AE5" s="45"/>
      <c r="AF5" s="45"/>
      <c r="AG5" s="45"/>
    </row>
    <row r="6" spans="1:33" s="21" customFormat="1" ht="10.5">
      <c r="H6" s="46" t="s">
        <v>42</v>
      </c>
      <c r="I6" s="47" t="str">
        <f>H4</f>
        <v>March</v>
      </c>
      <c r="J6" s="48">
        <f>I4</f>
        <v>2018</v>
      </c>
      <c r="K6" s="48">
        <f t="shared" ref="K6:AC6" si="0">J6+1</f>
        <v>2019</v>
      </c>
      <c r="L6" s="48">
        <f t="shared" si="0"/>
        <v>2020</v>
      </c>
      <c r="M6" s="48">
        <f t="shared" si="0"/>
        <v>2021</v>
      </c>
      <c r="N6" s="48">
        <f t="shared" si="0"/>
        <v>2022</v>
      </c>
      <c r="O6" s="48">
        <f t="shared" si="0"/>
        <v>2023</v>
      </c>
      <c r="P6" s="48">
        <f t="shared" si="0"/>
        <v>2024</v>
      </c>
      <c r="Q6" s="48">
        <f t="shared" si="0"/>
        <v>2025</v>
      </c>
      <c r="R6" s="48">
        <f t="shared" si="0"/>
        <v>2026</v>
      </c>
      <c r="S6" s="48">
        <f t="shared" si="0"/>
        <v>2027</v>
      </c>
      <c r="T6" s="48">
        <f t="shared" si="0"/>
        <v>2028</v>
      </c>
      <c r="U6" s="48">
        <f t="shared" si="0"/>
        <v>2029</v>
      </c>
      <c r="V6" s="48">
        <f t="shared" si="0"/>
        <v>2030</v>
      </c>
      <c r="W6" s="48">
        <f t="shared" si="0"/>
        <v>2031</v>
      </c>
      <c r="X6" s="48">
        <f t="shared" si="0"/>
        <v>2032</v>
      </c>
      <c r="Y6" s="48">
        <f t="shared" si="0"/>
        <v>2033</v>
      </c>
      <c r="Z6" s="48">
        <f t="shared" si="0"/>
        <v>2034</v>
      </c>
      <c r="AA6" s="48">
        <f t="shared" si="0"/>
        <v>2035</v>
      </c>
      <c r="AB6" s="48">
        <f t="shared" si="0"/>
        <v>2036</v>
      </c>
      <c r="AC6" s="48">
        <f t="shared" si="0"/>
        <v>2037</v>
      </c>
      <c r="AD6" s="49" t="s">
        <v>23</v>
      </c>
      <c r="AE6" s="317" t="s">
        <v>43</v>
      </c>
      <c r="AF6" s="317"/>
    </row>
    <row r="7" spans="1:33" ht="10.5">
      <c r="A7" s="13" t="s">
        <v>44</v>
      </c>
      <c r="B7" s="13" t="s">
        <v>45</v>
      </c>
      <c r="G7" s="50"/>
      <c r="H7" s="51"/>
      <c r="I7" s="52"/>
      <c r="J7" s="53" t="s">
        <v>46</v>
      </c>
      <c r="K7" s="53" t="s">
        <v>46</v>
      </c>
      <c r="L7" s="53" t="s">
        <v>46</v>
      </c>
      <c r="M7" s="53" t="s">
        <v>46</v>
      </c>
      <c r="N7" s="53" t="s">
        <v>46</v>
      </c>
      <c r="O7" s="53" t="s">
        <v>46</v>
      </c>
      <c r="P7" s="53" t="s">
        <v>46</v>
      </c>
      <c r="Q7" s="53" t="s">
        <v>46</v>
      </c>
      <c r="R7" s="53" t="s">
        <v>46</v>
      </c>
      <c r="S7" s="53" t="s">
        <v>46</v>
      </c>
      <c r="T7" s="53" t="s">
        <v>46</v>
      </c>
      <c r="U7" s="53" t="s">
        <v>46</v>
      </c>
      <c r="V7" s="53" t="s">
        <v>46</v>
      </c>
      <c r="W7" s="53" t="s">
        <v>46</v>
      </c>
      <c r="X7" s="53" t="s">
        <v>46</v>
      </c>
      <c r="Y7" s="53" t="s">
        <v>46</v>
      </c>
      <c r="Z7" s="53" t="s">
        <v>46</v>
      </c>
      <c r="AA7" s="53" t="s">
        <v>46</v>
      </c>
      <c r="AB7" s="53" t="s">
        <v>46</v>
      </c>
      <c r="AC7" s="53" t="s">
        <v>46</v>
      </c>
      <c r="AD7" s="53" t="s">
        <v>46</v>
      </c>
      <c r="AE7" s="21"/>
      <c r="AF7" s="22"/>
      <c r="AG7" s="22"/>
    </row>
    <row r="8" spans="1:33" ht="10.5">
      <c r="C8" s="17" t="s">
        <v>24</v>
      </c>
      <c r="G8" s="14"/>
      <c r="H8" s="51"/>
      <c r="I8" s="52"/>
      <c r="J8" s="51"/>
      <c r="K8" s="51"/>
      <c r="L8" s="51"/>
      <c r="M8" s="51"/>
      <c r="N8" s="51"/>
      <c r="O8" s="51"/>
      <c r="P8" s="51"/>
      <c r="Q8" s="51"/>
      <c r="R8" s="51"/>
      <c r="S8" s="51"/>
      <c r="T8" s="51"/>
      <c r="U8" s="51"/>
      <c r="V8" s="51"/>
      <c r="W8" s="51"/>
      <c r="X8" s="51"/>
      <c r="Y8" s="51"/>
      <c r="Z8" s="51"/>
      <c r="AA8" s="51"/>
      <c r="AB8" s="51"/>
      <c r="AC8" s="51"/>
      <c r="AD8" s="54"/>
      <c r="AE8" s="22"/>
      <c r="AF8" s="22"/>
      <c r="AG8" s="22"/>
    </row>
    <row r="9" spans="1:33" ht="10.5">
      <c r="D9" s="55" t="s">
        <v>211</v>
      </c>
      <c r="E9" s="24"/>
      <c r="F9" s="24"/>
      <c r="G9" s="24"/>
      <c r="H9" s="266"/>
      <c r="I9" s="267"/>
      <c r="J9" s="51">
        <f t="shared" ref="J9:AC9" si="1">J27 * J34</f>
        <v>4351.1999505680005</v>
      </c>
      <c r="K9" s="51">
        <f t="shared" si="1"/>
        <v>4481.7359490850404</v>
      </c>
      <c r="L9" s="51">
        <f t="shared" si="1"/>
        <v>4616.1880275575913</v>
      </c>
      <c r="M9" s="51">
        <f t="shared" si="1"/>
        <v>4754.6736683843192</v>
      </c>
      <c r="N9" s="51">
        <f t="shared" si="1"/>
        <v>4897.3138784358489</v>
      </c>
      <c r="O9" s="51">
        <f t="shared" si="1"/>
        <v>5044.2332947889236</v>
      </c>
      <c r="P9" s="51">
        <f t="shared" si="1"/>
        <v>5195.5602936325913</v>
      </c>
      <c r="Q9" s="51">
        <f t="shared" si="1"/>
        <v>5351.4271024415693</v>
      </c>
      <c r="R9" s="51">
        <f t="shared" si="1"/>
        <v>5511.9699155148164</v>
      </c>
      <c r="S9" s="51">
        <f t="shared" si="1"/>
        <v>5677.3290129802617</v>
      </c>
      <c r="T9" s="51">
        <f t="shared" si="1"/>
        <v>5847.6488833696694</v>
      </c>
      <c r="U9" s="51">
        <f t="shared" si="1"/>
        <v>6023.0783498707597</v>
      </c>
      <c r="V9" s="51">
        <f t="shared" si="1"/>
        <v>6203.770700366882</v>
      </c>
      <c r="W9" s="51">
        <f t="shared" si="1"/>
        <v>6389.8838213778881</v>
      </c>
      <c r="X9" s="51">
        <f t="shared" si="1"/>
        <v>6581.5803360192249</v>
      </c>
      <c r="Y9" s="51">
        <f t="shared" si="1"/>
        <v>6779.0277460998022</v>
      </c>
      <c r="Z9" s="51">
        <f t="shared" si="1"/>
        <v>6982.3985784827955</v>
      </c>
      <c r="AA9" s="51">
        <f t="shared" si="1"/>
        <v>7191.8705358372799</v>
      </c>
      <c r="AB9" s="51">
        <f t="shared" si="1"/>
        <v>7407.6266519123983</v>
      </c>
      <c r="AC9" s="51">
        <f t="shared" si="1"/>
        <v>7629.8554514697707</v>
      </c>
      <c r="AD9" s="56">
        <f>SUM(J9:AC9)</f>
        <v>116918.37214819546</v>
      </c>
      <c r="AF9" s="22"/>
      <c r="AG9" s="22"/>
    </row>
    <row r="10" spans="1:33" ht="10.5">
      <c r="D10" s="24" t="s">
        <v>25</v>
      </c>
      <c r="E10" s="24"/>
      <c r="F10" s="24"/>
      <c r="G10" s="24"/>
      <c r="H10" s="51"/>
      <c r="I10" s="58"/>
      <c r="J10" s="51">
        <f>J27 * J35</f>
        <v>5879.9999331999998</v>
      </c>
      <c r="K10" s="51">
        <f t="shared" ref="K10:AC10" si="2">K27 * K35</f>
        <v>6144.5999301940001</v>
      </c>
      <c r="L10" s="51">
        <f t="shared" si="2"/>
        <v>6421.1069270527287</v>
      </c>
      <c r="M10" s="51">
        <f t="shared" si="2"/>
        <v>6710.0567387701012</v>
      </c>
      <c r="N10" s="51">
        <f t="shared" si="2"/>
        <v>7012.0092920147554</v>
      </c>
      <c r="O10" s="51">
        <f t="shared" si="2"/>
        <v>7327.5497101554183</v>
      </c>
      <c r="P10" s="51">
        <f t="shared" si="2"/>
        <v>7657.2894471124118</v>
      </c>
      <c r="Q10" s="51">
        <f t="shared" si="2"/>
        <v>8001.8674722324695</v>
      </c>
      <c r="R10" s="51">
        <f t="shared" si="2"/>
        <v>8361.9515084829291</v>
      </c>
      <c r="S10" s="51">
        <f t="shared" si="2"/>
        <v>8738.2393263646609</v>
      </c>
      <c r="T10" s="51">
        <f t="shared" si="2"/>
        <v>9131.4600960510706</v>
      </c>
      <c r="U10" s="51">
        <f t="shared" si="2"/>
        <v>9542.3758003733692</v>
      </c>
      <c r="V10" s="51">
        <f t="shared" si="2"/>
        <v>9971.7827113901694</v>
      </c>
      <c r="W10" s="51">
        <f t="shared" si="2"/>
        <v>10420.512933402726</v>
      </c>
      <c r="X10" s="51">
        <f t="shared" si="2"/>
        <v>10889.436015405849</v>
      </c>
      <c r="Y10" s="51">
        <f t="shared" si="2"/>
        <v>11379.460636099111</v>
      </c>
      <c r="Z10" s="51">
        <f t="shared" si="2"/>
        <v>11891.53636472357</v>
      </c>
      <c r="AA10" s="51">
        <f t="shared" si="2"/>
        <v>12426.655501136131</v>
      </c>
      <c r="AB10" s="51">
        <f t="shared" si="2"/>
        <v>12985.854998687255</v>
      </c>
      <c r="AC10" s="51">
        <f t="shared" si="2"/>
        <v>13570.21847362818</v>
      </c>
      <c r="AD10" s="56">
        <f>SUM(J10:AC10)</f>
        <v>184463.96381647693</v>
      </c>
      <c r="AE10" s="22"/>
      <c r="AF10" s="22"/>
      <c r="AG10" s="22"/>
    </row>
    <row r="11" spans="1:33" ht="10.5">
      <c r="C11" s="17" t="s">
        <v>26</v>
      </c>
      <c r="D11" s="24"/>
      <c r="E11" s="24"/>
      <c r="F11" s="24"/>
      <c r="G11" s="24"/>
      <c r="H11" s="51"/>
      <c r="I11" s="59">
        <f t="shared" ref="I11:AC11" si="3">SUM(I9:I10)</f>
        <v>0</v>
      </c>
      <c r="J11" s="59">
        <f t="shared" si="3"/>
        <v>10231.199883768</v>
      </c>
      <c r="K11" s="56">
        <f t="shared" si="3"/>
        <v>10626.33587927904</v>
      </c>
      <c r="L11" s="56">
        <f t="shared" si="3"/>
        <v>11037.294954610319</v>
      </c>
      <c r="M11" s="56">
        <f t="shared" si="3"/>
        <v>11464.73040715442</v>
      </c>
      <c r="N11" s="56">
        <f t="shared" si="3"/>
        <v>11909.323170450603</v>
      </c>
      <c r="O11" s="56">
        <f t="shared" si="3"/>
        <v>12371.783004944342</v>
      </c>
      <c r="P11" s="56">
        <f t="shared" si="3"/>
        <v>12852.849740745003</v>
      </c>
      <c r="Q11" s="56">
        <f t="shared" si="3"/>
        <v>13353.294574674039</v>
      </c>
      <c r="R11" s="56">
        <f t="shared" si="3"/>
        <v>13873.921423997745</v>
      </c>
      <c r="S11" s="56">
        <f t="shared" si="3"/>
        <v>14415.568339344922</v>
      </c>
      <c r="T11" s="56">
        <f t="shared" si="3"/>
        <v>14979.10897942074</v>
      </c>
      <c r="U11" s="56">
        <f t="shared" si="3"/>
        <v>15565.454150244128</v>
      </c>
      <c r="V11" s="56">
        <f t="shared" si="3"/>
        <v>16175.553411757051</v>
      </c>
      <c r="W11" s="56">
        <f t="shared" si="3"/>
        <v>16810.396754780613</v>
      </c>
      <c r="X11" s="56">
        <f t="shared" si="3"/>
        <v>17471.016351425074</v>
      </c>
      <c r="Y11" s="56">
        <f t="shared" si="3"/>
        <v>18158.488382198913</v>
      </c>
      <c r="Z11" s="56">
        <f t="shared" si="3"/>
        <v>18873.934943206365</v>
      </c>
      <c r="AA11" s="56">
        <f t="shared" si="3"/>
        <v>19618.52603697341</v>
      </c>
      <c r="AB11" s="56">
        <f t="shared" si="3"/>
        <v>20393.481650599653</v>
      </c>
      <c r="AC11" s="56">
        <f t="shared" si="3"/>
        <v>21200.07392509795</v>
      </c>
      <c r="AD11" s="56">
        <f>SUM(J11:AC11)</f>
        <v>301382.33596467227</v>
      </c>
      <c r="AE11" s="57">
        <f>AD11-SUM(AD9:AD10)</f>
        <v>0</v>
      </c>
      <c r="AF11" s="13"/>
      <c r="AG11" s="13"/>
    </row>
    <row r="12" spans="1:33" ht="19" customHeight="1">
      <c r="C12" s="18" t="s">
        <v>27</v>
      </c>
      <c r="D12" s="24"/>
      <c r="E12" s="24"/>
      <c r="F12" s="24"/>
      <c r="G12" s="24"/>
      <c r="H12" s="51"/>
      <c r="I12" s="60"/>
      <c r="J12" s="61"/>
      <c r="K12" s="51"/>
      <c r="L12" s="51"/>
      <c r="M12" s="51"/>
      <c r="N12" s="51"/>
      <c r="O12" s="51"/>
      <c r="P12" s="51"/>
      <c r="Q12" s="51"/>
      <c r="R12" s="51"/>
      <c r="S12" s="51"/>
      <c r="T12" s="51"/>
      <c r="U12" s="51"/>
      <c r="V12" s="51"/>
      <c r="W12" s="51"/>
      <c r="X12" s="51"/>
      <c r="Y12" s="51"/>
      <c r="Z12" s="51"/>
      <c r="AA12" s="51"/>
      <c r="AB12" s="51"/>
      <c r="AC12" s="51"/>
      <c r="AD12" s="56"/>
      <c r="AE12" s="22"/>
      <c r="AF12" s="22"/>
      <c r="AG12" s="22"/>
    </row>
    <row r="13" spans="1:33" ht="19" customHeight="1">
      <c r="C13" s="18"/>
      <c r="D13" s="62" t="s">
        <v>214</v>
      </c>
      <c r="E13" s="24"/>
      <c r="F13" s="24"/>
      <c r="G13" s="24"/>
      <c r="J13" s="61">
        <f>J33 * J27</f>
        <v>7055.9999198400001</v>
      </c>
      <c r="K13" s="61">
        <f>K33 * K27</f>
        <v>7594.7255137197844</v>
      </c>
      <c r="L13" s="61">
        <f t="shared" ref="L13:AC13" si="4">L33 * L27</f>
        <v>7990.4254600244185</v>
      </c>
      <c r="M13" s="61">
        <f t="shared" si="4"/>
        <v>8406.3590823311861</v>
      </c>
      <c r="N13" s="61">
        <f t="shared" si="4"/>
        <v>8843.5461190890128</v>
      </c>
      <c r="O13" s="61">
        <f t="shared" si="4"/>
        <v>9303.0571120133245</v>
      </c>
      <c r="P13" s="61">
        <f t="shared" si="4"/>
        <v>9786.0159134096684</v>
      </c>
      <c r="Q13" s="61">
        <f t="shared" si="4"/>
        <v>10293.602316279856</v>
      </c>
      <c r="R13" s="61">
        <f t="shared" si="4"/>
        <v>10827.054813183706</v>
      </c>
      <c r="S13" s="61">
        <f t="shared" si="4"/>
        <v>11387.673490118437</v>
      </c>
      <c r="T13" s="61">
        <f t="shared" si="4"/>
        <v>11976.823061980595</v>
      </c>
      <c r="U13" s="61">
        <f t="shared" si="4"/>
        <v>12595.936056492859</v>
      </c>
      <c r="V13" s="61">
        <f t="shared" si="4"/>
        <v>13246.516153810715</v>
      </c>
      <c r="W13" s="61">
        <f t="shared" si="4"/>
        <v>13930.141689372784</v>
      </c>
      <c r="X13" s="61">
        <f t="shared" si="4"/>
        <v>14648.469327923965</v>
      </c>
      <c r="Y13" s="61">
        <f t="shared" si="4"/>
        <v>15403.237917023776</v>
      </c>
      <c r="Z13" s="61">
        <f t="shared" si="4"/>
        <v>16196.272528753525</v>
      </c>
      <c r="AA13" s="61">
        <f t="shared" si="4"/>
        <v>17029.488698756977</v>
      </c>
      <c r="AB13" s="61">
        <f t="shared" si="4"/>
        <v>17904.896872190016</v>
      </c>
      <c r="AC13" s="61">
        <f t="shared" si="4"/>
        <v>18824.607066617045</v>
      </c>
      <c r="AD13" s="56">
        <f>SUM(J13:AC13)</f>
        <v>243244.84911293164</v>
      </c>
      <c r="AE13" s="22"/>
      <c r="AF13" s="22"/>
      <c r="AG13" s="22"/>
    </row>
    <row r="14" spans="1:33" ht="10.5">
      <c r="C14" s="17"/>
      <c r="D14" s="62" t="s">
        <v>28</v>
      </c>
      <c r="E14" s="24"/>
      <c r="F14" s="24"/>
      <c r="G14" s="24"/>
      <c r="H14" s="63">
        <f>J120</f>
        <v>8211.7000000000007</v>
      </c>
      <c r="I14" s="64" t="s">
        <v>47</v>
      </c>
      <c r="J14" s="65">
        <f>H14 - J116</f>
        <v>911.70000000000073</v>
      </c>
      <c r="K14" s="65">
        <f>H14 + (H14 * J38)</f>
        <v>8458.0510000000013</v>
      </c>
      <c r="L14" s="51">
        <f t="shared" ref="L14:AB14" si="5">K14 + (K14 * K38)</f>
        <v>8711.7925300000006</v>
      </c>
      <c r="M14" s="51">
        <f t="shared" si="5"/>
        <v>8973.1463058999998</v>
      </c>
      <c r="N14" s="51">
        <f t="shared" si="5"/>
        <v>9242.3406950770004</v>
      </c>
      <c r="O14" s="51">
        <f t="shared" si="5"/>
        <v>9519.6109159293101</v>
      </c>
      <c r="P14" s="51">
        <f t="shared" si="5"/>
        <v>9805.199243407189</v>
      </c>
      <c r="Q14" s="51">
        <f t="shared" si="5"/>
        <v>10099.355220709405</v>
      </c>
      <c r="R14" s="51">
        <f t="shared" si="5"/>
        <v>10402.335877330688</v>
      </c>
      <c r="S14" s="51">
        <f t="shared" si="5"/>
        <v>10714.405953650608</v>
      </c>
      <c r="T14" s="51">
        <f t="shared" si="5"/>
        <v>11035.838132260127</v>
      </c>
      <c r="U14" s="51">
        <f t="shared" si="5"/>
        <v>11366.913276227931</v>
      </c>
      <c r="V14" s="51">
        <f t="shared" si="5"/>
        <v>11707.920674514769</v>
      </c>
      <c r="W14" s="51">
        <f t="shared" si="5"/>
        <v>12059.158294750212</v>
      </c>
      <c r="X14" s="51">
        <f t="shared" si="5"/>
        <v>12420.933043592719</v>
      </c>
      <c r="Y14" s="51">
        <f t="shared" si="5"/>
        <v>12793.5610349005</v>
      </c>
      <c r="Z14" s="51">
        <f t="shared" si="5"/>
        <v>13177.367865947515</v>
      </c>
      <c r="AA14" s="51">
        <f t="shared" si="5"/>
        <v>13572.688901925942</v>
      </c>
      <c r="AB14" s="51">
        <f t="shared" si="5"/>
        <v>13979.86956898372</v>
      </c>
      <c r="AC14" s="65">
        <f>SUM(AB14 + (AB14 * AB38)) + '[1]TRESOC Output data '!J6</f>
        <v>14399.265656053232</v>
      </c>
      <c r="AD14" s="56">
        <f>SUM(J14:AC14)</f>
        <v>213351.45419116088</v>
      </c>
      <c r="AE14" s="22"/>
      <c r="AF14" s="22"/>
      <c r="AG14" s="22"/>
    </row>
    <row r="15" spans="1:33" ht="10.5">
      <c r="C15" s="17"/>
      <c r="D15" s="62" t="s">
        <v>276</v>
      </c>
      <c r="E15" s="24"/>
      <c r="F15" s="24"/>
      <c r="G15" s="24"/>
      <c r="H15" s="66"/>
      <c r="I15" s="64" t="s">
        <v>48</v>
      </c>
      <c r="J15" s="52">
        <f>$J125</f>
        <v>200</v>
      </c>
      <c r="K15" s="52">
        <f>$J125</f>
        <v>200</v>
      </c>
      <c r="L15" s="52">
        <f>K15</f>
        <v>200</v>
      </c>
      <c r="M15" s="52">
        <f t="shared" ref="M15:S15" si="6">L15</f>
        <v>200</v>
      </c>
      <c r="N15" s="52">
        <f t="shared" si="6"/>
        <v>200</v>
      </c>
      <c r="O15" s="52">
        <f t="shared" si="6"/>
        <v>200</v>
      </c>
      <c r="P15" s="52">
        <f t="shared" si="6"/>
        <v>200</v>
      </c>
      <c r="Q15" s="52">
        <f t="shared" si="6"/>
        <v>200</v>
      </c>
      <c r="R15" s="52">
        <f t="shared" si="6"/>
        <v>200</v>
      </c>
      <c r="S15" s="52">
        <f t="shared" si="6"/>
        <v>200</v>
      </c>
      <c r="T15" s="52">
        <f t="shared" ref="T15" si="7">S15</f>
        <v>200</v>
      </c>
      <c r="U15" s="52">
        <f t="shared" ref="U15" si="8">T15</f>
        <v>200</v>
      </c>
      <c r="V15" s="52">
        <f t="shared" ref="V15" si="9">U15</f>
        <v>200</v>
      </c>
      <c r="W15" s="52">
        <f t="shared" ref="W15" si="10">V15</f>
        <v>200</v>
      </c>
      <c r="X15" s="52">
        <f t="shared" ref="X15" si="11">W15</f>
        <v>200</v>
      </c>
      <c r="Y15" s="52">
        <f t="shared" ref="Y15" si="12">X15</f>
        <v>200</v>
      </c>
      <c r="Z15" s="52">
        <f t="shared" ref="Z15" si="13">Y15</f>
        <v>200</v>
      </c>
      <c r="AA15" s="52">
        <f t="shared" ref="AA15" si="14">Z15</f>
        <v>200</v>
      </c>
      <c r="AB15" s="52">
        <f t="shared" ref="AB15" si="15">AA15</f>
        <v>200</v>
      </c>
      <c r="AC15" s="65">
        <v>0</v>
      </c>
      <c r="AD15" s="56">
        <f t="shared" ref="AD15:AD22" si="16">SUM(J15:AC15)</f>
        <v>3800</v>
      </c>
      <c r="AE15" s="22"/>
      <c r="AF15" s="22"/>
      <c r="AG15" s="22"/>
    </row>
    <row r="16" spans="1:33" ht="10.5">
      <c r="C16" s="17"/>
      <c r="D16" s="62" t="s">
        <v>29</v>
      </c>
      <c r="E16" s="24"/>
      <c r="F16" s="24"/>
      <c r="G16" s="24"/>
      <c r="H16" s="68">
        <f>Overview!G10</f>
        <v>2000</v>
      </c>
      <c r="I16" s="64" t="s">
        <v>48</v>
      </c>
      <c r="J16" s="63">
        <f>H16 * J78</f>
        <v>4000</v>
      </c>
      <c r="K16" s="52">
        <f>H16 + (H16 * J38)</f>
        <v>2060</v>
      </c>
      <c r="L16" s="67">
        <f t="shared" ref="L16:AC16" si="17">K16 + (K16 * K38)</f>
        <v>2121.8000000000002</v>
      </c>
      <c r="M16" s="67">
        <f t="shared" si="17"/>
        <v>2185.4540000000002</v>
      </c>
      <c r="N16" s="67">
        <f t="shared" si="17"/>
        <v>2251.0176200000001</v>
      </c>
      <c r="O16" s="67">
        <f t="shared" si="17"/>
        <v>2318.5481485999999</v>
      </c>
      <c r="P16" s="67">
        <f t="shared" si="17"/>
        <v>2388.1045930579999</v>
      </c>
      <c r="Q16" s="67">
        <f t="shared" si="17"/>
        <v>2459.74773084974</v>
      </c>
      <c r="R16" s="67">
        <f t="shared" si="17"/>
        <v>2533.5401627752321</v>
      </c>
      <c r="S16" s="67">
        <f t="shared" si="17"/>
        <v>2609.5463676584891</v>
      </c>
      <c r="T16" s="67">
        <f t="shared" si="17"/>
        <v>2687.8327586882438</v>
      </c>
      <c r="U16" s="67">
        <f t="shared" si="17"/>
        <v>2768.467741448891</v>
      </c>
      <c r="V16" s="67">
        <f t="shared" si="17"/>
        <v>2851.5217736923578</v>
      </c>
      <c r="W16" s="67">
        <f t="shared" si="17"/>
        <v>2937.0674269031283</v>
      </c>
      <c r="X16" s="67">
        <f t="shared" si="17"/>
        <v>3025.1794497102223</v>
      </c>
      <c r="Y16" s="67">
        <f t="shared" si="17"/>
        <v>3115.9348332015288</v>
      </c>
      <c r="Z16" s="67">
        <f t="shared" si="17"/>
        <v>3209.4128781975746</v>
      </c>
      <c r="AA16" s="67">
        <f t="shared" si="17"/>
        <v>3305.6952645435017</v>
      </c>
      <c r="AB16" s="67">
        <f t="shared" si="17"/>
        <v>3404.8661224798066</v>
      </c>
      <c r="AC16" s="67">
        <f t="shared" si="17"/>
        <v>3507.0121061542009</v>
      </c>
      <c r="AD16" s="56">
        <f t="shared" si="16"/>
        <v>55740.748977960917</v>
      </c>
      <c r="AE16" s="22"/>
      <c r="AF16" s="22"/>
      <c r="AG16" s="22"/>
    </row>
    <row r="17" spans="1:33" ht="10.5">
      <c r="C17" s="17" t="s">
        <v>30</v>
      </c>
      <c r="D17" s="62"/>
      <c r="E17" s="24"/>
      <c r="F17" s="24"/>
      <c r="G17" s="24"/>
      <c r="H17" s="68"/>
      <c r="I17" s="64"/>
      <c r="J17" s="68">
        <f t="shared" ref="J17:AC17" si="18">SUM(J13:J16)</f>
        <v>12167.699919840001</v>
      </c>
      <c r="K17" s="68">
        <f t="shared" si="18"/>
        <v>18312.776513719786</v>
      </c>
      <c r="L17" s="68">
        <f t="shared" si="18"/>
        <v>19024.017990024418</v>
      </c>
      <c r="M17" s="68">
        <f t="shared" si="18"/>
        <v>19764.959388231186</v>
      </c>
      <c r="N17" s="68">
        <f t="shared" si="18"/>
        <v>20536.904434166012</v>
      </c>
      <c r="O17" s="68">
        <f t="shared" si="18"/>
        <v>21341.216176542635</v>
      </c>
      <c r="P17" s="68">
        <f t="shared" si="18"/>
        <v>22179.319749874856</v>
      </c>
      <c r="Q17" s="68">
        <f t="shared" si="18"/>
        <v>23052.705267839003</v>
      </c>
      <c r="R17" s="68">
        <f t="shared" si="18"/>
        <v>23962.930853289628</v>
      </c>
      <c r="S17" s="68">
        <f t="shared" si="18"/>
        <v>24911.625811427533</v>
      </c>
      <c r="T17" s="68">
        <f t="shared" si="18"/>
        <v>25900.493952928966</v>
      </c>
      <c r="U17" s="68">
        <f t="shared" si="18"/>
        <v>26931.317074169681</v>
      </c>
      <c r="V17" s="68">
        <f t="shared" si="18"/>
        <v>28005.958602017843</v>
      </c>
      <c r="W17" s="68">
        <f t="shared" si="18"/>
        <v>29126.367411026127</v>
      </c>
      <c r="X17" s="68">
        <f t="shared" si="18"/>
        <v>30294.581821226908</v>
      </c>
      <c r="Y17" s="68">
        <f t="shared" si="18"/>
        <v>31512.733785125805</v>
      </c>
      <c r="Z17" s="68">
        <f t="shared" si="18"/>
        <v>32783.053272898615</v>
      </c>
      <c r="AA17" s="68">
        <f t="shared" si="18"/>
        <v>34107.872865226418</v>
      </c>
      <c r="AB17" s="68">
        <f t="shared" si="18"/>
        <v>35489.63256365354</v>
      </c>
      <c r="AC17" s="68">
        <f t="shared" si="18"/>
        <v>36730.884828824477</v>
      </c>
      <c r="AD17" s="56">
        <f>SUM(J17:AC17)</f>
        <v>516137.05228205345</v>
      </c>
      <c r="AE17" s="57">
        <f>AD17-SUM(AD13:AD16)</f>
        <v>0</v>
      </c>
      <c r="AF17" s="22"/>
      <c r="AG17" s="22"/>
    </row>
    <row r="18" spans="1:33" ht="10.5">
      <c r="C18" s="17" t="s">
        <v>31</v>
      </c>
      <c r="D18" s="62"/>
      <c r="E18" s="69" t="s">
        <v>49</v>
      </c>
      <c r="F18" s="70"/>
      <c r="G18" s="25"/>
      <c r="H18" s="68"/>
      <c r="I18" s="64"/>
      <c r="J18" s="68">
        <f t="shared" ref="J18:AC18" si="19">J11 - J17</f>
        <v>-1936.5000360720005</v>
      </c>
      <c r="K18" s="68">
        <f t="shared" si="19"/>
        <v>-7686.4406344407453</v>
      </c>
      <c r="L18" s="68">
        <f t="shared" si="19"/>
        <v>-7986.7230354140993</v>
      </c>
      <c r="M18" s="68">
        <f t="shared" si="19"/>
        <v>-8300.2289810767652</v>
      </c>
      <c r="N18" s="68">
        <f t="shared" si="19"/>
        <v>-8627.5812637154086</v>
      </c>
      <c r="O18" s="68">
        <f t="shared" si="19"/>
        <v>-8969.4331715982935</v>
      </c>
      <c r="P18" s="68">
        <f t="shared" si="19"/>
        <v>-9326.4700091298528</v>
      </c>
      <c r="Q18" s="68">
        <f t="shared" si="19"/>
        <v>-9699.410693164964</v>
      </c>
      <c r="R18" s="68">
        <f t="shared" si="19"/>
        <v>-10089.009429291884</v>
      </c>
      <c r="S18" s="68">
        <f t="shared" si="19"/>
        <v>-10496.057472082612</v>
      </c>
      <c r="T18" s="68">
        <f t="shared" si="19"/>
        <v>-10921.384973508226</v>
      </c>
      <c r="U18" s="68">
        <f t="shared" si="19"/>
        <v>-11365.862923925553</v>
      </c>
      <c r="V18" s="68">
        <f t="shared" si="19"/>
        <v>-11830.405190260792</v>
      </c>
      <c r="W18" s="68">
        <f t="shared" si="19"/>
        <v>-12315.970656245514</v>
      </c>
      <c r="X18" s="68">
        <f t="shared" si="19"/>
        <v>-12823.565469801833</v>
      </c>
      <c r="Y18" s="68">
        <f t="shared" si="19"/>
        <v>-13354.245402926892</v>
      </c>
      <c r="Z18" s="68">
        <f t="shared" si="19"/>
        <v>-13909.11832969225</v>
      </c>
      <c r="AA18" s="68">
        <f t="shared" si="19"/>
        <v>-14489.346828253008</v>
      </c>
      <c r="AB18" s="68">
        <f t="shared" si="19"/>
        <v>-15096.150913053887</v>
      </c>
      <c r="AC18" s="68">
        <f t="shared" si="19"/>
        <v>-15530.810903726528</v>
      </c>
      <c r="AD18" s="56">
        <f t="shared" si="16"/>
        <v>-214754.7163173811</v>
      </c>
      <c r="AE18" s="57">
        <f>AD18- (AD11 - AD17)</f>
        <v>0</v>
      </c>
      <c r="AF18" s="22"/>
      <c r="AG18" s="22"/>
    </row>
    <row r="19" spans="1:33" ht="10.5">
      <c r="C19" s="17"/>
      <c r="D19" s="55" t="s">
        <v>50</v>
      </c>
      <c r="E19" s="24"/>
      <c r="F19" s="24"/>
      <c r="G19" s="24"/>
      <c r="H19" s="88">
        <f>J111</f>
        <v>0.03</v>
      </c>
      <c r="I19" s="63"/>
      <c r="J19" s="65">
        <v>0</v>
      </c>
      <c r="K19" s="52">
        <f>J110* H19</f>
        <v>4578.5999999999995</v>
      </c>
      <c r="L19" s="52">
        <f t="shared" ref="L19:AC19" si="20">K65 * $H19</f>
        <v>4578.5999999999995</v>
      </c>
      <c r="M19" s="52">
        <f t="shared" si="20"/>
        <v>4578.5999999999995</v>
      </c>
      <c r="N19" s="52">
        <f t="shared" si="20"/>
        <v>4578.5999999999995</v>
      </c>
      <c r="O19" s="52">
        <f t="shared" si="20"/>
        <v>4578.5999999999995</v>
      </c>
      <c r="P19" s="52">
        <f t="shared" si="20"/>
        <v>4578.5999999999995</v>
      </c>
      <c r="Q19" s="52">
        <f t="shared" si="20"/>
        <v>4578.5999999999995</v>
      </c>
      <c r="R19" s="52">
        <f t="shared" si="20"/>
        <v>4578.5999999999995</v>
      </c>
      <c r="S19" s="52">
        <f t="shared" si="20"/>
        <v>4578.5999999999995</v>
      </c>
      <c r="T19" s="52">
        <f t="shared" si="20"/>
        <v>4578.5999999999995</v>
      </c>
      <c r="U19" s="52">
        <f t="shared" si="20"/>
        <v>4578.5999999999995</v>
      </c>
      <c r="V19" s="52">
        <f t="shared" si="20"/>
        <v>4578.5999999999995</v>
      </c>
      <c r="W19" s="52">
        <f t="shared" si="20"/>
        <v>4578.5999999999995</v>
      </c>
      <c r="X19" s="52">
        <f t="shared" si="20"/>
        <v>4578.5999999999995</v>
      </c>
      <c r="Y19" s="52">
        <f t="shared" si="20"/>
        <v>4578.5999999999995</v>
      </c>
      <c r="Z19" s="52">
        <f t="shared" si="20"/>
        <v>4578.5999999999995</v>
      </c>
      <c r="AA19" s="52">
        <f t="shared" si="20"/>
        <v>4578.5999999999995</v>
      </c>
      <c r="AB19" s="52">
        <f t="shared" si="20"/>
        <v>4578.5999999999995</v>
      </c>
      <c r="AC19" s="52">
        <f t="shared" si="20"/>
        <v>4578.5999999999995</v>
      </c>
      <c r="AD19" s="56">
        <f t="shared" si="16"/>
        <v>86993.400000000009</v>
      </c>
      <c r="AE19" s="57"/>
      <c r="AF19" s="22"/>
      <c r="AG19" s="22"/>
    </row>
    <row r="20" spans="1:33" ht="10.5">
      <c r="C20" s="14" t="s">
        <v>33</v>
      </c>
      <c r="D20" s="55"/>
      <c r="E20" s="24"/>
      <c r="F20" s="24"/>
      <c r="G20" s="24"/>
      <c r="H20" s="88"/>
      <c r="I20" s="63"/>
      <c r="J20" s="52">
        <f>J18 - J19</f>
        <v>-1936.5000360720005</v>
      </c>
      <c r="K20" s="52">
        <f t="shared" ref="K20:AB20" si="21">K18 - K19</f>
        <v>-12265.040634440746</v>
      </c>
      <c r="L20" s="52">
        <f t="shared" si="21"/>
        <v>-12565.323035414098</v>
      </c>
      <c r="M20" s="52">
        <f t="shared" si="21"/>
        <v>-12878.828981076764</v>
      </c>
      <c r="N20" s="52">
        <f t="shared" si="21"/>
        <v>-13206.181263715407</v>
      </c>
      <c r="O20" s="52">
        <f t="shared" si="21"/>
        <v>-13548.033171598294</v>
      </c>
      <c r="P20" s="52">
        <f t="shared" si="21"/>
        <v>-13905.070009129853</v>
      </c>
      <c r="Q20" s="52">
        <f t="shared" si="21"/>
        <v>-14278.010693164964</v>
      </c>
      <c r="R20" s="52">
        <f t="shared" si="21"/>
        <v>-14667.609429291882</v>
      </c>
      <c r="S20" s="52">
        <f t="shared" si="21"/>
        <v>-15074.65747208261</v>
      </c>
      <c r="T20" s="52">
        <f t="shared" si="21"/>
        <v>-15499.984973508224</v>
      </c>
      <c r="U20" s="52">
        <f t="shared" si="21"/>
        <v>-15944.462923925552</v>
      </c>
      <c r="V20" s="52">
        <f t="shared" si="21"/>
        <v>-16409.005190260792</v>
      </c>
      <c r="W20" s="52">
        <f t="shared" si="21"/>
        <v>-16894.570656245513</v>
      </c>
      <c r="X20" s="52">
        <f t="shared" si="21"/>
        <v>-17402.165469801832</v>
      </c>
      <c r="Y20" s="52">
        <f t="shared" si="21"/>
        <v>-17932.845402926891</v>
      </c>
      <c r="Z20" s="52">
        <f t="shared" si="21"/>
        <v>-18487.718329692249</v>
      </c>
      <c r="AA20" s="52">
        <f t="shared" si="21"/>
        <v>-19067.946828253007</v>
      </c>
      <c r="AB20" s="52">
        <f t="shared" si="21"/>
        <v>-19674.750913053886</v>
      </c>
      <c r="AC20" s="52">
        <f>AC18 - AC19</f>
        <v>-20109.410903726526</v>
      </c>
      <c r="AD20" s="56">
        <f t="shared" si="16"/>
        <v>-301748.11631738115</v>
      </c>
      <c r="AE20" s="52">
        <f>AD20 - (AD18 - AD19)</f>
        <v>0</v>
      </c>
      <c r="AF20" s="22"/>
      <c r="AG20" s="22"/>
    </row>
    <row r="21" spans="1:33" ht="10.5">
      <c r="D21" s="14" t="s">
        <v>145</v>
      </c>
      <c r="G21" s="14"/>
      <c r="J21" s="71">
        <f>J55</f>
        <v>0</v>
      </c>
      <c r="K21" s="71">
        <f t="shared" ref="K21:AC21" si="22">K55</f>
        <v>0</v>
      </c>
      <c r="L21" s="71">
        <f t="shared" si="22"/>
        <v>0</v>
      </c>
      <c r="M21" s="71">
        <f t="shared" si="22"/>
        <v>0</v>
      </c>
      <c r="N21" s="71">
        <f t="shared" si="22"/>
        <v>0</v>
      </c>
      <c r="O21" s="71">
        <f t="shared" si="22"/>
        <v>0</v>
      </c>
      <c r="P21" s="71">
        <f t="shared" si="22"/>
        <v>0</v>
      </c>
      <c r="Q21" s="71">
        <f t="shared" si="22"/>
        <v>0</v>
      </c>
      <c r="R21" s="71">
        <f t="shared" si="22"/>
        <v>0</v>
      </c>
      <c r="S21" s="71">
        <f t="shared" si="22"/>
        <v>0</v>
      </c>
      <c r="T21" s="71">
        <f t="shared" si="22"/>
        <v>0</v>
      </c>
      <c r="U21" s="71">
        <f t="shared" si="22"/>
        <v>0</v>
      </c>
      <c r="V21" s="71">
        <f t="shared" si="22"/>
        <v>0</v>
      </c>
      <c r="W21" s="71">
        <f t="shared" si="22"/>
        <v>0</v>
      </c>
      <c r="X21" s="71">
        <f t="shared" si="22"/>
        <v>0</v>
      </c>
      <c r="Y21" s="71">
        <f t="shared" si="22"/>
        <v>0</v>
      </c>
      <c r="Z21" s="71">
        <f t="shared" si="22"/>
        <v>0</v>
      </c>
      <c r="AA21" s="71">
        <f t="shared" si="22"/>
        <v>0</v>
      </c>
      <c r="AB21" s="71">
        <f t="shared" si="22"/>
        <v>0</v>
      </c>
      <c r="AC21" s="71">
        <f t="shared" si="22"/>
        <v>0</v>
      </c>
      <c r="AD21" s="56">
        <f t="shared" si="16"/>
        <v>0</v>
      </c>
      <c r="AE21" s="57"/>
    </row>
    <row r="22" spans="1:33" ht="10.5">
      <c r="C22" s="14" t="s">
        <v>146</v>
      </c>
      <c r="G22" s="14"/>
      <c r="J22" s="71">
        <f>J20 - J21</f>
        <v>-1936.5000360720005</v>
      </c>
      <c r="K22" s="71">
        <f t="shared" ref="K22:AB22" si="23">K20 - K21</f>
        <v>-12265.040634440746</v>
      </c>
      <c r="L22" s="71">
        <f t="shared" si="23"/>
        <v>-12565.323035414098</v>
      </c>
      <c r="M22" s="71">
        <f t="shared" si="23"/>
        <v>-12878.828981076764</v>
      </c>
      <c r="N22" s="71">
        <f t="shared" si="23"/>
        <v>-13206.181263715407</v>
      </c>
      <c r="O22" s="71">
        <f t="shared" si="23"/>
        <v>-13548.033171598294</v>
      </c>
      <c r="P22" s="71">
        <f t="shared" si="23"/>
        <v>-13905.070009129853</v>
      </c>
      <c r="Q22" s="71">
        <f t="shared" si="23"/>
        <v>-14278.010693164964</v>
      </c>
      <c r="R22" s="71">
        <f t="shared" si="23"/>
        <v>-14667.609429291882</v>
      </c>
      <c r="S22" s="71">
        <f t="shared" si="23"/>
        <v>-15074.65747208261</v>
      </c>
      <c r="T22" s="71">
        <f t="shared" si="23"/>
        <v>-15499.984973508224</v>
      </c>
      <c r="U22" s="71">
        <f t="shared" si="23"/>
        <v>-15944.462923925552</v>
      </c>
      <c r="V22" s="71">
        <f t="shared" si="23"/>
        <v>-16409.005190260792</v>
      </c>
      <c r="W22" s="71">
        <f t="shared" si="23"/>
        <v>-16894.570656245513</v>
      </c>
      <c r="X22" s="71">
        <f t="shared" si="23"/>
        <v>-17402.165469801832</v>
      </c>
      <c r="Y22" s="71">
        <f t="shared" si="23"/>
        <v>-17932.845402926891</v>
      </c>
      <c r="Z22" s="71">
        <f t="shared" si="23"/>
        <v>-18487.718329692249</v>
      </c>
      <c r="AA22" s="71">
        <f t="shared" si="23"/>
        <v>-19067.946828253007</v>
      </c>
      <c r="AB22" s="71">
        <f t="shared" si="23"/>
        <v>-19674.750913053886</v>
      </c>
      <c r="AC22" s="71">
        <f>AC20 - AC21</f>
        <v>-20109.410903726526</v>
      </c>
      <c r="AD22" s="56">
        <f t="shared" si="16"/>
        <v>-301748.11631738115</v>
      </c>
      <c r="AE22" s="52">
        <f>AD22 - (AD20 - AD21)</f>
        <v>0</v>
      </c>
    </row>
    <row r="23" spans="1:33" ht="10.5">
      <c r="J23" s="14"/>
      <c r="K23" s="21"/>
      <c r="L23" s="21"/>
      <c r="M23" s="21"/>
      <c r="N23" s="21"/>
      <c r="O23" s="21"/>
      <c r="P23" s="21"/>
      <c r="Q23" s="21"/>
      <c r="R23" s="21"/>
      <c r="S23" s="21"/>
      <c r="T23" s="21"/>
      <c r="U23" s="21"/>
      <c r="V23" s="21"/>
      <c r="W23" s="21"/>
      <c r="X23" s="21"/>
      <c r="Y23" s="21"/>
      <c r="Z23" s="21"/>
      <c r="AA23" s="21"/>
      <c r="AB23" s="21"/>
      <c r="AC23" s="21"/>
      <c r="AD23" s="56"/>
      <c r="AE23" s="57"/>
    </row>
    <row r="24" spans="1:33" ht="10.5">
      <c r="A24" s="13" t="s">
        <v>51</v>
      </c>
      <c r="B24" s="20" t="s">
        <v>52</v>
      </c>
      <c r="H24" s="33"/>
      <c r="I24" s="33"/>
      <c r="J24" s="33"/>
      <c r="K24" s="21"/>
      <c r="L24" s="21"/>
      <c r="M24" s="21"/>
      <c r="N24" s="21"/>
      <c r="O24" s="21"/>
      <c r="P24" s="21"/>
      <c r="Q24" s="21"/>
      <c r="R24" s="21"/>
      <c r="S24" s="21"/>
      <c r="T24" s="21"/>
      <c r="U24" s="21"/>
      <c r="V24" s="21"/>
      <c r="W24" s="21"/>
      <c r="X24" s="21"/>
      <c r="Y24" s="21"/>
      <c r="Z24" s="21"/>
      <c r="AA24" s="21"/>
      <c r="AB24" s="21"/>
      <c r="AC24" s="21"/>
      <c r="AD24" s="20"/>
      <c r="AE24" s="22"/>
      <c r="AF24" s="22"/>
      <c r="AG24" s="22"/>
    </row>
    <row r="25" spans="1:33" ht="10.5">
      <c r="B25" s="13">
        <v>1</v>
      </c>
      <c r="C25" s="17" t="s">
        <v>53</v>
      </c>
      <c r="H25" s="21"/>
      <c r="I25" s="55"/>
      <c r="J25" s="72" t="s">
        <v>54</v>
      </c>
      <c r="K25" s="72" t="s">
        <v>54</v>
      </c>
      <c r="L25" s="72" t="s">
        <v>54</v>
      </c>
      <c r="M25" s="72" t="s">
        <v>54</v>
      </c>
      <c r="N25" s="72" t="s">
        <v>54</v>
      </c>
      <c r="O25" s="72" t="s">
        <v>54</v>
      </c>
      <c r="P25" s="72" t="s">
        <v>54</v>
      </c>
      <c r="Q25" s="72" t="s">
        <v>54</v>
      </c>
      <c r="R25" s="72" t="s">
        <v>54</v>
      </c>
      <c r="S25" s="72" t="s">
        <v>54</v>
      </c>
      <c r="T25" s="72" t="s">
        <v>54</v>
      </c>
      <c r="U25" s="72" t="s">
        <v>54</v>
      </c>
      <c r="V25" s="72" t="s">
        <v>54</v>
      </c>
      <c r="W25" s="72" t="s">
        <v>54</v>
      </c>
      <c r="X25" s="72" t="s">
        <v>54</v>
      </c>
      <c r="Y25" s="72" t="s">
        <v>54</v>
      </c>
      <c r="Z25" s="72" t="s">
        <v>54</v>
      </c>
      <c r="AA25" s="72" t="s">
        <v>54</v>
      </c>
      <c r="AB25" s="72" t="s">
        <v>54</v>
      </c>
      <c r="AC25" s="72" t="s">
        <v>54</v>
      </c>
      <c r="AD25" s="72" t="s">
        <v>54</v>
      </c>
      <c r="AE25" s="22"/>
      <c r="AF25" s="22"/>
      <c r="AG25" s="22"/>
    </row>
    <row r="26" spans="1:33" ht="10.5">
      <c r="B26" s="13"/>
      <c r="C26" s="17"/>
      <c r="D26" s="73" t="s">
        <v>217</v>
      </c>
      <c r="H26" s="21"/>
      <c r="I26" s="55"/>
      <c r="J26" s="232">
        <f>H127</f>
        <v>183700</v>
      </c>
      <c r="K26" s="52">
        <f>J26</f>
        <v>183700</v>
      </c>
      <c r="L26" s="52">
        <f t="shared" ref="L26:AC27" si="24">K26</f>
        <v>183700</v>
      </c>
      <c r="M26" s="52">
        <f t="shared" si="24"/>
        <v>183700</v>
      </c>
      <c r="N26" s="52">
        <f t="shared" si="24"/>
        <v>183700</v>
      </c>
      <c r="O26" s="52">
        <f t="shared" si="24"/>
        <v>183700</v>
      </c>
      <c r="P26" s="52">
        <f t="shared" si="24"/>
        <v>183700</v>
      </c>
      <c r="Q26" s="52">
        <f t="shared" si="24"/>
        <v>183700</v>
      </c>
      <c r="R26" s="52">
        <f t="shared" si="24"/>
        <v>183700</v>
      </c>
      <c r="S26" s="52">
        <f t="shared" si="24"/>
        <v>183700</v>
      </c>
      <c r="T26" s="52">
        <f t="shared" si="24"/>
        <v>183700</v>
      </c>
      <c r="U26" s="52">
        <f t="shared" si="24"/>
        <v>183700</v>
      </c>
      <c r="V26" s="52">
        <f t="shared" si="24"/>
        <v>183700</v>
      </c>
      <c r="W26" s="52">
        <f t="shared" si="24"/>
        <v>183700</v>
      </c>
      <c r="X26" s="52">
        <f t="shared" si="24"/>
        <v>183700</v>
      </c>
      <c r="Y26" s="52">
        <f t="shared" si="24"/>
        <v>183700</v>
      </c>
      <c r="Z26" s="52">
        <f t="shared" si="24"/>
        <v>183700</v>
      </c>
      <c r="AA26" s="52">
        <f t="shared" si="24"/>
        <v>183700</v>
      </c>
      <c r="AB26" s="52">
        <f t="shared" si="24"/>
        <v>183700</v>
      </c>
      <c r="AC26" s="52">
        <f t="shared" si="24"/>
        <v>183700</v>
      </c>
      <c r="AD26" s="56">
        <f>SUM(J26:AC26)</f>
        <v>3674000</v>
      </c>
      <c r="AE26" s="22"/>
      <c r="AF26" s="22"/>
      <c r="AG26" s="22"/>
    </row>
    <row r="27" spans="1:33" ht="10.5">
      <c r="B27" s="13"/>
      <c r="D27" s="73" t="s">
        <v>209</v>
      </c>
      <c r="H27" s="21"/>
      <c r="I27" s="55"/>
      <c r="J27" s="232">
        <f>H128</f>
        <v>146999.99833</v>
      </c>
      <c r="K27" s="52">
        <f>J27</f>
        <v>146999.99833</v>
      </c>
      <c r="L27" s="52">
        <f t="shared" si="24"/>
        <v>146999.99833</v>
      </c>
      <c r="M27" s="52">
        <f t="shared" si="24"/>
        <v>146999.99833</v>
      </c>
      <c r="N27" s="52">
        <f t="shared" si="24"/>
        <v>146999.99833</v>
      </c>
      <c r="O27" s="52">
        <f t="shared" si="24"/>
        <v>146999.99833</v>
      </c>
      <c r="P27" s="52">
        <f t="shared" si="24"/>
        <v>146999.99833</v>
      </c>
      <c r="Q27" s="52">
        <f t="shared" si="24"/>
        <v>146999.99833</v>
      </c>
      <c r="R27" s="52">
        <f t="shared" si="24"/>
        <v>146999.99833</v>
      </c>
      <c r="S27" s="52">
        <f t="shared" si="24"/>
        <v>146999.99833</v>
      </c>
      <c r="T27" s="52">
        <f t="shared" si="24"/>
        <v>146999.99833</v>
      </c>
      <c r="U27" s="52">
        <f t="shared" si="24"/>
        <v>146999.99833</v>
      </c>
      <c r="V27" s="52">
        <f t="shared" si="24"/>
        <v>146999.99833</v>
      </c>
      <c r="W27" s="52">
        <f t="shared" si="24"/>
        <v>146999.99833</v>
      </c>
      <c r="X27" s="52">
        <f t="shared" si="24"/>
        <v>146999.99833</v>
      </c>
      <c r="Y27" s="52">
        <f t="shared" si="24"/>
        <v>146999.99833</v>
      </c>
      <c r="Z27" s="52">
        <f t="shared" si="24"/>
        <v>146999.99833</v>
      </c>
      <c r="AA27" s="52">
        <f t="shared" si="24"/>
        <v>146999.99833</v>
      </c>
      <c r="AB27" s="52">
        <f t="shared" si="24"/>
        <v>146999.99833</v>
      </c>
      <c r="AC27" s="52">
        <f t="shared" si="24"/>
        <v>146999.99833</v>
      </c>
      <c r="AD27" s="56">
        <f>SUM(J27:AC27)</f>
        <v>2939999.9665999999</v>
      </c>
      <c r="AE27" s="22"/>
      <c r="AF27" s="22"/>
      <c r="AG27" s="22"/>
    </row>
    <row r="28" spans="1:33" ht="10.5">
      <c r="B28" s="13"/>
      <c r="D28" s="75"/>
      <c r="H28" s="76"/>
      <c r="I28" s="76"/>
      <c r="J28" s="52"/>
      <c r="K28" s="52"/>
      <c r="L28" s="52"/>
      <c r="M28" s="52"/>
      <c r="N28" s="52"/>
      <c r="O28" s="52"/>
      <c r="P28" s="52"/>
      <c r="Q28" s="52"/>
      <c r="R28" s="52"/>
      <c r="S28" s="52"/>
      <c r="T28" s="52"/>
      <c r="U28" s="52"/>
      <c r="V28" s="52"/>
      <c r="W28" s="52"/>
      <c r="X28" s="52"/>
      <c r="Y28" s="52"/>
      <c r="Z28" s="52"/>
      <c r="AA28" s="52"/>
      <c r="AB28" s="52"/>
      <c r="AC28" s="52"/>
      <c r="AD28" s="56"/>
      <c r="AE28" s="22"/>
      <c r="AF28" s="22"/>
      <c r="AG28" s="22"/>
    </row>
    <row r="29" spans="1:33" ht="10.5">
      <c r="B29" s="13">
        <v>2</v>
      </c>
      <c r="C29" s="13" t="s">
        <v>218</v>
      </c>
      <c r="D29" s="75"/>
      <c r="H29" s="76"/>
      <c r="I29" s="76"/>
      <c r="J29" s="53" t="s">
        <v>46</v>
      </c>
      <c r="K29" s="53" t="s">
        <v>46</v>
      </c>
      <c r="L29" s="53" t="s">
        <v>46</v>
      </c>
      <c r="M29" s="53" t="s">
        <v>46</v>
      </c>
      <c r="N29" s="53" t="s">
        <v>46</v>
      </c>
      <c r="O29" s="53" t="s">
        <v>46</v>
      </c>
      <c r="P29" s="53" t="s">
        <v>46</v>
      </c>
      <c r="Q29" s="53" t="s">
        <v>46</v>
      </c>
      <c r="R29" s="53" t="s">
        <v>46</v>
      </c>
      <c r="S29" s="53" t="s">
        <v>46</v>
      </c>
      <c r="T29" s="53" t="s">
        <v>46</v>
      </c>
      <c r="U29" s="53" t="s">
        <v>46</v>
      </c>
      <c r="V29" s="53" t="s">
        <v>46</v>
      </c>
      <c r="W29" s="53" t="s">
        <v>46</v>
      </c>
      <c r="X29" s="53" t="s">
        <v>46</v>
      </c>
      <c r="Y29" s="53" t="s">
        <v>46</v>
      </c>
      <c r="Z29" s="53" t="s">
        <v>46</v>
      </c>
      <c r="AA29" s="53" t="s">
        <v>46</v>
      </c>
      <c r="AB29" s="53" t="s">
        <v>46</v>
      </c>
      <c r="AC29" s="53" t="s">
        <v>46</v>
      </c>
      <c r="AD29" s="53"/>
      <c r="AE29" s="22"/>
      <c r="AF29" s="22"/>
      <c r="AG29" s="22"/>
    </row>
    <row r="30" spans="1:33" ht="10.5">
      <c r="B30" s="13"/>
      <c r="C30" s="13"/>
      <c r="D30" s="75" t="s">
        <v>246</v>
      </c>
      <c r="H30" s="268">
        <f>I114 / 100</f>
        <v>4.8000000000000001E-2</v>
      </c>
      <c r="I30" s="74" t="s">
        <v>216</v>
      </c>
      <c r="J30" s="234">
        <f>H30</f>
        <v>4.8000000000000001E-2</v>
      </c>
      <c r="K30" s="80">
        <f t="shared" ref="K30:AC30" si="25">J30 + (J30 * K39)</f>
        <v>5.0160000000000003E-2</v>
      </c>
      <c r="L30" s="80">
        <f t="shared" si="25"/>
        <v>5.2417200000000004E-2</v>
      </c>
      <c r="M30" s="80">
        <f t="shared" si="25"/>
        <v>5.4775974000000005E-2</v>
      </c>
      <c r="N30" s="80">
        <f t="shared" si="25"/>
        <v>5.7240892830000008E-2</v>
      </c>
      <c r="O30" s="80">
        <f t="shared" si="25"/>
        <v>5.9816733007350006E-2</v>
      </c>
      <c r="P30" s="80">
        <f t="shared" si="25"/>
        <v>6.250848599268076E-2</v>
      </c>
      <c r="Q30" s="80">
        <f t="shared" si="25"/>
        <v>6.532136786235139E-2</v>
      </c>
      <c r="R30" s="80">
        <f t="shared" si="25"/>
        <v>6.8260829416157201E-2</v>
      </c>
      <c r="S30" s="80">
        <f t="shared" si="25"/>
        <v>7.1332566739884279E-2</v>
      </c>
      <c r="T30" s="80">
        <f t="shared" si="25"/>
        <v>7.4542532243179069E-2</v>
      </c>
      <c r="U30" s="80">
        <f t="shared" si="25"/>
        <v>7.789694619412213E-2</v>
      </c>
      <c r="V30" s="80">
        <f t="shared" si="25"/>
        <v>8.1402308772857632E-2</v>
      </c>
      <c r="W30" s="80">
        <f t="shared" si="25"/>
        <v>8.5065412667636231E-2</v>
      </c>
      <c r="X30" s="80">
        <f t="shared" si="25"/>
        <v>8.8893356237679855E-2</v>
      </c>
      <c r="Y30" s="80">
        <f t="shared" si="25"/>
        <v>9.2893557268375448E-2</v>
      </c>
      <c r="Z30" s="80">
        <f t="shared" si="25"/>
        <v>9.7073767345452339E-2</v>
      </c>
      <c r="AA30" s="80">
        <f t="shared" si="25"/>
        <v>0.10144208687599769</v>
      </c>
      <c r="AB30" s="80">
        <f t="shared" si="25"/>
        <v>0.10600698078541759</v>
      </c>
      <c r="AC30" s="80">
        <f t="shared" si="25"/>
        <v>0.11077729492076138</v>
      </c>
      <c r="AD30" s="81"/>
      <c r="AE30" s="22"/>
      <c r="AF30" s="22"/>
      <c r="AG30" s="22"/>
    </row>
    <row r="31" spans="1:33" ht="10.5">
      <c r="B31" s="13"/>
      <c r="C31" s="13"/>
      <c r="D31" s="75" t="s">
        <v>219</v>
      </c>
      <c r="I31" s="14"/>
      <c r="J31" s="14"/>
      <c r="AD31" s="78"/>
      <c r="AE31" s="22"/>
      <c r="AF31" s="22"/>
      <c r="AG31" s="22"/>
    </row>
    <row r="32" spans="1:33" ht="10.5">
      <c r="B32" s="13"/>
      <c r="C32" s="13"/>
      <c r="D32" s="75"/>
      <c r="F32" s="14" t="s">
        <v>223</v>
      </c>
      <c r="H32" s="233">
        <f>H131</f>
        <v>7.0000000000000001E-3</v>
      </c>
      <c r="I32" s="74" t="s">
        <v>55</v>
      </c>
      <c r="J32" s="243">
        <v>0.03</v>
      </c>
      <c r="K32" s="244">
        <f>J32 + $H32</f>
        <v>3.6999999999999998E-2</v>
      </c>
      <c r="L32" s="244">
        <f t="shared" ref="L32:AC32" si="26">K32 + $H32</f>
        <v>4.3999999999999997E-2</v>
      </c>
      <c r="M32" s="244">
        <f t="shared" si="26"/>
        <v>5.0999999999999997E-2</v>
      </c>
      <c r="N32" s="244">
        <f t="shared" si="26"/>
        <v>5.7999999999999996E-2</v>
      </c>
      <c r="O32" s="244">
        <f t="shared" si="26"/>
        <v>6.5000000000000002E-2</v>
      </c>
      <c r="P32" s="244">
        <f t="shared" si="26"/>
        <v>7.2000000000000008E-2</v>
      </c>
      <c r="Q32" s="244">
        <f t="shared" si="26"/>
        <v>7.9000000000000015E-2</v>
      </c>
      <c r="R32" s="244">
        <f t="shared" si="26"/>
        <v>8.6000000000000021E-2</v>
      </c>
      <c r="S32" s="244">
        <f t="shared" si="26"/>
        <v>9.3000000000000027E-2</v>
      </c>
      <c r="T32" s="244">
        <f t="shared" si="26"/>
        <v>0.10000000000000003</v>
      </c>
      <c r="U32" s="244">
        <f t="shared" si="26"/>
        <v>0.10700000000000004</v>
      </c>
      <c r="V32" s="244">
        <f t="shared" si="26"/>
        <v>0.11400000000000005</v>
      </c>
      <c r="W32" s="244">
        <f t="shared" si="26"/>
        <v>0.12100000000000005</v>
      </c>
      <c r="X32" s="244">
        <f t="shared" si="26"/>
        <v>0.12800000000000006</v>
      </c>
      <c r="Y32" s="244">
        <f t="shared" si="26"/>
        <v>0.13500000000000006</v>
      </c>
      <c r="Z32" s="244">
        <f t="shared" si="26"/>
        <v>0.14200000000000007</v>
      </c>
      <c r="AA32" s="244">
        <f t="shared" si="26"/>
        <v>0.14900000000000008</v>
      </c>
      <c r="AB32" s="244">
        <f t="shared" si="26"/>
        <v>0.15600000000000008</v>
      </c>
      <c r="AC32" s="244">
        <f t="shared" si="26"/>
        <v>0.16300000000000009</v>
      </c>
      <c r="AD32" s="78"/>
      <c r="AE32" s="22"/>
      <c r="AF32" s="22"/>
      <c r="AG32" s="22"/>
    </row>
    <row r="33" spans="1:33" ht="10.5">
      <c r="B33" s="13"/>
      <c r="C33" s="13"/>
      <c r="D33" s="75"/>
      <c r="E33" s="14" t="s">
        <v>247</v>
      </c>
      <c r="H33" s="76"/>
      <c r="I33" s="74" t="s">
        <v>216</v>
      </c>
      <c r="J33" s="235">
        <f>J30</f>
        <v>4.8000000000000001E-2</v>
      </c>
      <c r="K33" s="235">
        <f>K30 + (K30 * J32)</f>
        <v>5.1664800000000004E-2</v>
      </c>
      <c r="L33" s="235">
        <f t="shared" ref="L33:AC33" si="27">L30 + (L30 * K32)</f>
        <v>5.4356636400000005E-2</v>
      </c>
      <c r="M33" s="235">
        <f t="shared" si="27"/>
        <v>5.7186116856000002E-2</v>
      </c>
      <c r="N33" s="235">
        <f t="shared" si="27"/>
        <v>6.0160178364330005E-2</v>
      </c>
      <c r="O33" s="235">
        <f t="shared" si="27"/>
        <v>6.3286103521776313E-2</v>
      </c>
      <c r="P33" s="235">
        <f t="shared" si="27"/>
        <v>6.6571537582205007E-2</v>
      </c>
      <c r="Q33" s="235">
        <f t="shared" si="27"/>
        <v>7.0024506348440693E-2</v>
      </c>
      <c r="R33" s="235">
        <f t="shared" si="27"/>
        <v>7.3653434940033624E-2</v>
      </c>
      <c r="S33" s="235">
        <f t="shared" si="27"/>
        <v>7.7467167479514334E-2</v>
      </c>
      <c r="T33" s="235">
        <f t="shared" si="27"/>
        <v>8.1474987741794722E-2</v>
      </c>
      <c r="U33" s="235">
        <f t="shared" si="27"/>
        <v>8.5686640813534345E-2</v>
      </c>
      <c r="V33" s="235">
        <f t="shared" si="27"/>
        <v>9.0112355811553399E-2</v>
      </c>
      <c r="W33" s="235">
        <f t="shared" si="27"/>
        <v>9.4762869711746772E-2</v>
      </c>
      <c r="X33" s="235">
        <f t="shared" si="27"/>
        <v>9.9649452342439118E-2</v>
      </c>
      <c r="Y33" s="235">
        <f t="shared" si="27"/>
        <v>0.10478393259872751</v>
      </c>
      <c r="Z33" s="235">
        <f t="shared" si="27"/>
        <v>0.11017872593708841</v>
      </c>
      <c r="AA33" s="235">
        <f t="shared" si="27"/>
        <v>0.11584686321238938</v>
      </c>
      <c r="AB33" s="235">
        <f t="shared" si="27"/>
        <v>0.12180202092244483</v>
      </c>
      <c r="AC33" s="235">
        <f t="shared" si="27"/>
        <v>0.12805855292840018</v>
      </c>
      <c r="AD33" s="78"/>
      <c r="AE33" s="22"/>
      <c r="AF33" s="22"/>
      <c r="AG33" s="22"/>
    </row>
    <row r="34" spans="1:33" ht="10.5">
      <c r="B34" s="13"/>
      <c r="D34" s="75" t="s">
        <v>210</v>
      </c>
      <c r="H34" s="269">
        <f>H132</f>
        <v>2.96</v>
      </c>
      <c r="I34" s="270" t="s">
        <v>56</v>
      </c>
      <c r="J34" s="79">
        <f>H34/100</f>
        <v>2.9600000000000001E-2</v>
      </c>
      <c r="K34" s="80">
        <f t="shared" ref="K34:AC34" si="28">J34 + (J34 * K38)</f>
        <v>3.0488000000000001E-2</v>
      </c>
      <c r="L34" s="80">
        <f t="shared" si="28"/>
        <v>3.1402640000000002E-2</v>
      </c>
      <c r="M34" s="80">
        <f t="shared" si="28"/>
        <v>3.2344719200000004E-2</v>
      </c>
      <c r="N34" s="80">
        <f t="shared" si="28"/>
        <v>3.3315060776000001E-2</v>
      </c>
      <c r="O34" s="80">
        <f t="shared" si="28"/>
        <v>3.4314512599279999E-2</v>
      </c>
      <c r="P34" s="80">
        <f t="shared" si="28"/>
        <v>3.53439479772584E-2</v>
      </c>
      <c r="Q34" s="80">
        <f t="shared" si="28"/>
        <v>3.6404266416576153E-2</v>
      </c>
      <c r="R34" s="80">
        <f t="shared" si="28"/>
        <v>3.7496394409073437E-2</v>
      </c>
      <c r="S34" s="80">
        <f t="shared" si="28"/>
        <v>3.8621286241345643E-2</v>
      </c>
      <c r="T34" s="80">
        <f t="shared" si="28"/>
        <v>3.9779924828586014E-2</v>
      </c>
      <c r="U34" s="80">
        <f t="shared" si="28"/>
        <v>4.0973322573443591E-2</v>
      </c>
      <c r="V34" s="80">
        <f t="shared" si="28"/>
        <v>4.2202522250646898E-2</v>
      </c>
      <c r="W34" s="80">
        <f t="shared" si="28"/>
        <v>4.3468597918166305E-2</v>
      </c>
      <c r="X34" s="80">
        <f t="shared" si="28"/>
        <v>4.4772655855711295E-2</v>
      </c>
      <c r="Y34" s="80">
        <f t="shared" si="28"/>
        <v>4.6115835531382633E-2</v>
      </c>
      <c r="Z34" s="80">
        <f t="shared" si="28"/>
        <v>4.749931059732411E-2</v>
      </c>
      <c r="AA34" s="80">
        <f t="shared" si="28"/>
        <v>4.8924289915243835E-2</v>
      </c>
      <c r="AB34" s="80">
        <f t="shared" si="28"/>
        <v>5.039201861270115E-2</v>
      </c>
      <c r="AC34" s="80">
        <f t="shared" si="28"/>
        <v>5.1903779171082187E-2</v>
      </c>
      <c r="AD34" s="81"/>
      <c r="AE34" s="22"/>
      <c r="AF34" s="22"/>
      <c r="AG34" s="22"/>
    </row>
    <row r="35" spans="1:33" ht="10.5">
      <c r="B35" s="13"/>
      <c r="D35" s="75" t="s">
        <v>245</v>
      </c>
      <c r="E35" s="73"/>
      <c r="H35" s="271">
        <f>H134</f>
        <v>4</v>
      </c>
      <c r="I35" s="270" t="s">
        <v>56</v>
      </c>
      <c r="J35" s="82">
        <f>H35 / 100</f>
        <v>0.04</v>
      </c>
      <c r="K35" s="83">
        <f t="shared" ref="K35:AC35" si="29">J35 *(1 +J$39)</f>
        <v>4.1799999999999997E-2</v>
      </c>
      <c r="L35" s="83">
        <f t="shared" si="29"/>
        <v>4.3680999999999991E-2</v>
      </c>
      <c r="M35" s="83">
        <f t="shared" si="29"/>
        <v>4.5646644999999986E-2</v>
      </c>
      <c r="N35" s="83">
        <f t="shared" si="29"/>
        <v>4.7700744024999985E-2</v>
      </c>
      <c r="O35" s="83">
        <f t="shared" si="29"/>
        <v>4.9847277506124978E-2</v>
      </c>
      <c r="P35" s="83">
        <f t="shared" si="29"/>
        <v>5.2090404993900601E-2</v>
      </c>
      <c r="Q35" s="83">
        <f t="shared" si="29"/>
        <v>5.4434473218626121E-2</v>
      </c>
      <c r="R35" s="83">
        <f t="shared" si="29"/>
        <v>5.688402451346429E-2</v>
      </c>
      <c r="S35" s="83">
        <f t="shared" si="29"/>
        <v>5.9443805616570179E-2</v>
      </c>
      <c r="T35" s="83">
        <f t="shared" si="29"/>
        <v>6.2118776869315835E-2</v>
      </c>
      <c r="U35" s="83">
        <f t="shared" si="29"/>
        <v>6.4914121828435048E-2</v>
      </c>
      <c r="V35" s="83">
        <f t="shared" si="29"/>
        <v>6.7835257310714617E-2</v>
      </c>
      <c r="W35" s="83">
        <f t="shared" si="29"/>
        <v>7.0887843889696767E-2</v>
      </c>
      <c r="X35" s="83">
        <f t="shared" si="29"/>
        <v>7.407779686473312E-2</v>
      </c>
      <c r="Y35" s="83">
        <f t="shared" si="29"/>
        <v>7.7411297723646105E-2</v>
      </c>
      <c r="Z35" s="83">
        <f t="shared" si="29"/>
        <v>8.089480612121018E-2</v>
      </c>
      <c r="AA35" s="83">
        <f t="shared" si="29"/>
        <v>8.4535072396664634E-2</v>
      </c>
      <c r="AB35" s="83">
        <f t="shared" si="29"/>
        <v>8.8339150654514531E-2</v>
      </c>
      <c r="AC35" s="83">
        <f t="shared" si="29"/>
        <v>9.231441243396768E-2</v>
      </c>
      <c r="AD35" s="78"/>
      <c r="AE35" s="22"/>
      <c r="AF35" s="22"/>
      <c r="AG35" s="22"/>
    </row>
    <row r="36" spans="1:33" ht="10.5">
      <c r="B36" s="13"/>
      <c r="D36" s="75"/>
      <c r="E36" s="73"/>
      <c r="H36" s="271"/>
      <c r="I36" s="270"/>
      <c r="J36" s="84"/>
      <c r="K36" s="85"/>
      <c r="L36" s="85"/>
      <c r="M36" s="85"/>
      <c r="N36" s="85"/>
      <c r="O36" s="85"/>
      <c r="P36" s="85"/>
      <c r="Q36" s="85"/>
      <c r="R36" s="85"/>
      <c r="S36" s="85"/>
      <c r="T36" s="85"/>
      <c r="U36" s="85"/>
      <c r="V36" s="85"/>
      <c r="W36" s="85"/>
      <c r="X36" s="85"/>
      <c r="Y36" s="85"/>
      <c r="Z36" s="85"/>
      <c r="AA36" s="85"/>
      <c r="AB36" s="85"/>
      <c r="AC36" s="85"/>
      <c r="AD36" s="78"/>
      <c r="AE36" s="22"/>
      <c r="AF36" s="22"/>
      <c r="AG36" s="22"/>
    </row>
    <row r="37" spans="1:33" ht="10.5">
      <c r="B37" s="13">
        <v>3</v>
      </c>
      <c r="C37" s="86" t="s">
        <v>57</v>
      </c>
      <c r="H37" s="77"/>
      <c r="I37" s="77"/>
      <c r="J37" s="87"/>
      <c r="K37" s="87"/>
      <c r="L37" s="87"/>
      <c r="M37" s="87"/>
      <c r="N37" s="87"/>
      <c r="O37" s="87"/>
      <c r="P37" s="87"/>
      <c r="Q37" s="87"/>
      <c r="R37" s="87"/>
      <c r="S37" s="87"/>
      <c r="T37" s="87"/>
      <c r="U37" s="87"/>
      <c r="V37" s="87"/>
      <c r="W37" s="87"/>
      <c r="X37" s="87"/>
      <c r="Y37" s="87"/>
      <c r="Z37" s="87"/>
      <c r="AA37" s="87"/>
      <c r="AB37" s="87"/>
      <c r="AC37" s="87"/>
      <c r="AD37" s="78"/>
      <c r="AE37" s="22"/>
      <c r="AF37" s="22"/>
      <c r="AG37" s="22"/>
    </row>
    <row r="38" spans="1:33" ht="10.5">
      <c r="B38" s="13"/>
      <c r="D38" s="75" t="s">
        <v>58</v>
      </c>
      <c r="H38" s="88">
        <f>Overview!G13</f>
        <v>0.03</v>
      </c>
      <c r="I38" s="88" t="s">
        <v>59</v>
      </c>
      <c r="J38" s="89">
        <f>H38</f>
        <v>0.03</v>
      </c>
      <c r="K38" s="90">
        <f>J38</f>
        <v>0.03</v>
      </c>
      <c r="L38" s="90">
        <f t="shared" ref="L38:AC38" si="30">K38</f>
        <v>0.03</v>
      </c>
      <c r="M38" s="90">
        <f t="shared" si="30"/>
        <v>0.03</v>
      </c>
      <c r="N38" s="90">
        <f t="shared" si="30"/>
        <v>0.03</v>
      </c>
      <c r="O38" s="90">
        <f t="shared" si="30"/>
        <v>0.03</v>
      </c>
      <c r="P38" s="90">
        <f t="shared" si="30"/>
        <v>0.03</v>
      </c>
      <c r="Q38" s="90">
        <f t="shared" si="30"/>
        <v>0.03</v>
      </c>
      <c r="R38" s="90">
        <f t="shared" si="30"/>
        <v>0.03</v>
      </c>
      <c r="S38" s="90">
        <f t="shared" si="30"/>
        <v>0.03</v>
      </c>
      <c r="T38" s="90">
        <f t="shared" si="30"/>
        <v>0.03</v>
      </c>
      <c r="U38" s="90">
        <f t="shared" si="30"/>
        <v>0.03</v>
      </c>
      <c r="V38" s="90">
        <f t="shared" si="30"/>
        <v>0.03</v>
      </c>
      <c r="W38" s="90">
        <f t="shared" si="30"/>
        <v>0.03</v>
      </c>
      <c r="X38" s="90">
        <f t="shared" si="30"/>
        <v>0.03</v>
      </c>
      <c r="Y38" s="90">
        <f t="shared" si="30"/>
        <v>0.03</v>
      </c>
      <c r="Z38" s="90">
        <f t="shared" si="30"/>
        <v>0.03</v>
      </c>
      <c r="AA38" s="90">
        <f t="shared" si="30"/>
        <v>0.03</v>
      </c>
      <c r="AB38" s="90">
        <f t="shared" si="30"/>
        <v>0.03</v>
      </c>
      <c r="AC38" s="90">
        <f t="shared" si="30"/>
        <v>0.03</v>
      </c>
      <c r="AD38" s="78"/>
      <c r="AE38" s="22"/>
      <c r="AF38" s="22"/>
      <c r="AG38" s="22"/>
    </row>
    <row r="39" spans="1:33" ht="10.5">
      <c r="B39" s="13"/>
      <c r="D39" s="91" t="s">
        <v>212</v>
      </c>
      <c r="H39" s="94">
        <v>1.4999999999999999E-2</v>
      </c>
      <c r="I39" s="88" t="s">
        <v>60</v>
      </c>
      <c r="J39" s="92">
        <f t="shared" ref="J39:AC39" si="31">J38+$H$39</f>
        <v>4.4999999999999998E-2</v>
      </c>
      <c r="K39" s="92">
        <f t="shared" si="31"/>
        <v>4.4999999999999998E-2</v>
      </c>
      <c r="L39" s="92">
        <f t="shared" si="31"/>
        <v>4.4999999999999998E-2</v>
      </c>
      <c r="M39" s="92">
        <f t="shared" si="31"/>
        <v>4.4999999999999998E-2</v>
      </c>
      <c r="N39" s="92">
        <f t="shared" si="31"/>
        <v>4.4999999999999998E-2</v>
      </c>
      <c r="O39" s="92">
        <f t="shared" si="31"/>
        <v>4.4999999999999998E-2</v>
      </c>
      <c r="P39" s="92">
        <f t="shared" si="31"/>
        <v>4.4999999999999998E-2</v>
      </c>
      <c r="Q39" s="92">
        <f t="shared" si="31"/>
        <v>4.4999999999999998E-2</v>
      </c>
      <c r="R39" s="92">
        <f t="shared" si="31"/>
        <v>4.4999999999999998E-2</v>
      </c>
      <c r="S39" s="92">
        <f t="shared" si="31"/>
        <v>4.4999999999999998E-2</v>
      </c>
      <c r="T39" s="92">
        <f t="shared" si="31"/>
        <v>4.4999999999999998E-2</v>
      </c>
      <c r="U39" s="92">
        <f t="shared" si="31"/>
        <v>4.4999999999999998E-2</v>
      </c>
      <c r="V39" s="92">
        <f t="shared" si="31"/>
        <v>4.4999999999999998E-2</v>
      </c>
      <c r="W39" s="92">
        <f t="shared" si="31"/>
        <v>4.4999999999999998E-2</v>
      </c>
      <c r="X39" s="92">
        <f t="shared" si="31"/>
        <v>4.4999999999999998E-2</v>
      </c>
      <c r="Y39" s="92">
        <f t="shared" si="31"/>
        <v>4.4999999999999998E-2</v>
      </c>
      <c r="Z39" s="92">
        <f t="shared" si="31"/>
        <v>4.4999999999999998E-2</v>
      </c>
      <c r="AA39" s="92">
        <f t="shared" si="31"/>
        <v>4.4999999999999998E-2</v>
      </c>
      <c r="AB39" s="92">
        <f t="shared" si="31"/>
        <v>4.4999999999999998E-2</v>
      </c>
      <c r="AC39" s="92">
        <f t="shared" si="31"/>
        <v>4.4999999999999998E-2</v>
      </c>
      <c r="AD39" s="78"/>
      <c r="AE39" s="22"/>
      <c r="AF39" s="22"/>
      <c r="AG39" s="22"/>
    </row>
    <row r="41" spans="1:33" ht="10.5">
      <c r="B41" s="20">
        <v>4</v>
      </c>
      <c r="C41" s="20" t="s">
        <v>126</v>
      </c>
      <c r="D41" s="171"/>
      <c r="E41" s="20"/>
      <c r="F41" s="20"/>
      <c r="G41" s="172"/>
      <c r="H41" s="52"/>
      <c r="I41" s="52"/>
      <c r="J41" s="65"/>
      <c r="K41" s="51"/>
      <c r="L41" s="51"/>
      <c r="M41" s="51"/>
      <c r="N41" s="51"/>
      <c r="O41" s="51"/>
      <c r="P41" s="51"/>
      <c r="Q41" s="51"/>
      <c r="R41" s="51"/>
      <c r="S41" s="51"/>
      <c r="T41" s="51"/>
      <c r="U41" s="51"/>
      <c r="V41" s="51"/>
      <c r="W41" s="51"/>
      <c r="X41" s="51"/>
      <c r="Y41" s="51"/>
      <c r="Z41" s="51"/>
      <c r="AA41" s="51"/>
      <c r="AB41" s="51"/>
      <c r="AC41" s="51"/>
      <c r="AE41" s="21"/>
      <c r="AF41" s="22"/>
      <c r="AG41" s="22"/>
    </row>
    <row r="42" spans="1:33" ht="10.5">
      <c r="B42" s="20"/>
      <c r="C42" s="24"/>
      <c r="E42" s="75" t="s">
        <v>135</v>
      </c>
      <c r="F42" s="24"/>
      <c r="G42" s="24"/>
      <c r="H42" s="93"/>
      <c r="I42" s="52"/>
      <c r="J42" s="65"/>
      <c r="K42" s="51"/>
      <c r="L42" s="51"/>
      <c r="M42" s="51"/>
      <c r="N42" s="51"/>
      <c r="O42" s="51"/>
      <c r="P42" s="51"/>
      <c r="Q42" s="51"/>
      <c r="R42" s="51"/>
      <c r="S42" s="51"/>
      <c r="T42" s="51"/>
      <c r="U42" s="51"/>
      <c r="V42" s="51"/>
      <c r="W42" s="51"/>
      <c r="X42" s="51"/>
      <c r="Y42" s="51"/>
      <c r="Z42" s="51"/>
      <c r="AA42" s="51"/>
      <c r="AB42" s="51"/>
      <c r="AC42" s="51"/>
      <c r="AE42" s="21"/>
      <c r="AF42" s="22"/>
      <c r="AG42" s="22"/>
    </row>
    <row r="43" spans="1:33" ht="10.5">
      <c r="B43" s="20"/>
      <c r="C43" s="24"/>
      <c r="F43" s="75" t="s">
        <v>140</v>
      </c>
      <c r="G43" s="24"/>
      <c r="H43" s="93"/>
      <c r="I43" s="52"/>
      <c r="J43" s="65">
        <v>0</v>
      </c>
      <c r="K43" s="51">
        <f>J46</f>
        <v>-1936.5000360720005</v>
      </c>
      <c r="L43" s="51">
        <f t="shared" ref="L43:AC43" si="32">K46</f>
        <v>-14201.540670512746</v>
      </c>
      <c r="M43" s="51">
        <f t="shared" si="32"/>
        <v>-26766.863705926844</v>
      </c>
      <c r="N43" s="51">
        <f t="shared" si="32"/>
        <v>-39645.692687003611</v>
      </c>
      <c r="O43" s="51">
        <f t="shared" si="32"/>
        <v>-52851.873950719018</v>
      </c>
      <c r="P43" s="51">
        <f t="shared" si="32"/>
        <v>-66399.907122317309</v>
      </c>
      <c r="Q43" s="51">
        <f t="shared" si="32"/>
        <v>-80304.977131447158</v>
      </c>
      <c r="R43" s="51">
        <f t="shared" si="32"/>
        <v>-94582.987824612122</v>
      </c>
      <c r="S43" s="51">
        <f t="shared" si="32"/>
        <v>-109250.59725390401</v>
      </c>
      <c r="T43" s="51">
        <f t="shared" si="32"/>
        <v>-124325.25472598663</v>
      </c>
      <c r="U43" s="51">
        <f t="shared" si="32"/>
        <v>-139825.23969949485</v>
      </c>
      <c r="V43" s="51">
        <f t="shared" si="32"/>
        <v>-155769.70262342039</v>
      </c>
      <c r="W43" s="51">
        <f t="shared" si="32"/>
        <v>-172178.70781368119</v>
      </c>
      <c r="X43" s="51">
        <f t="shared" si="32"/>
        <v>-189073.27846992671</v>
      </c>
      <c r="Y43" s="51">
        <f t="shared" si="32"/>
        <v>-206475.44393972855</v>
      </c>
      <c r="Z43" s="51">
        <f t="shared" si="32"/>
        <v>-224408.28934265545</v>
      </c>
      <c r="AA43" s="51">
        <f t="shared" si="32"/>
        <v>-242896.00767234771</v>
      </c>
      <c r="AB43" s="51">
        <f t="shared" si="32"/>
        <v>-261963.95450060072</v>
      </c>
      <c r="AC43" s="51">
        <f t="shared" si="32"/>
        <v>-281638.70541365462</v>
      </c>
      <c r="AD43" s="78"/>
      <c r="AE43" s="21"/>
      <c r="AF43" s="22"/>
      <c r="AG43" s="22"/>
    </row>
    <row r="44" spans="1:33" ht="10.5">
      <c r="B44" s="20"/>
      <c r="C44" s="24"/>
      <c r="F44" s="75" t="s">
        <v>136</v>
      </c>
      <c r="G44" s="24"/>
      <c r="H44" s="93"/>
      <c r="I44" s="52"/>
      <c r="J44" s="52">
        <f>J20</f>
        <v>-1936.5000360720005</v>
      </c>
      <c r="K44" s="52">
        <f t="shared" ref="K44:AC44" si="33">K20</f>
        <v>-12265.040634440746</v>
      </c>
      <c r="L44" s="52">
        <f t="shared" si="33"/>
        <v>-12565.323035414098</v>
      </c>
      <c r="M44" s="52">
        <f t="shared" si="33"/>
        <v>-12878.828981076764</v>
      </c>
      <c r="N44" s="52">
        <f t="shared" si="33"/>
        <v>-13206.181263715407</v>
      </c>
      <c r="O44" s="52">
        <f t="shared" si="33"/>
        <v>-13548.033171598294</v>
      </c>
      <c r="P44" s="52">
        <f t="shared" si="33"/>
        <v>-13905.070009129853</v>
      </c>
      <c r="Q44" s="52">
        <f t="shared" si="33"/>
        <v>-14278.010693164964</v>
      </c>
      <c r="R44" s="52">
        <f t="shared" si="33"/>
        <v>-14667.609429291882</v>
      </c>
      <c r="S44" s="52">
        <f t="shared" si="33"/>
        <v>-15074.65747208261</v>
      </c>
      <c r="T44" s="52">
        <f t="shared" si="33"/>
        <v>-15499.984973508224</v>
      </c>
      <c r="U44" s="52">
        <f t="shared" si="33"/>
        <v>-15944.462923925552</v>
      </c>
      <c r="V44" s="52">
        <f t="shared" si="33"/>
        <v>-16409.005190260792</v>
      </c>
      <c r="W44" s="52">
        <f t="shared" si="33"/>
        <v>-16894.570656245513</v>
      </c>
      <c r="X44" s="52">
        <f t="shared" si="33"/>
        <v>-17402.165469801832</v>
      </c>
      <c r="Y44" s="52">
        <f t="shared" si="33"/>
        <v>-17932.845402926891</v>
      </c>
      <c r="Z44" s="52">
        <f t="shared" si="33"/>
        <v>-18487.718329692249</v>
      </c>
      <c r="AA44" s="52">
        <f t="shared" si="33"/>
        <v>-19067.946828253007</v>
      </c>
      <c r="AB44" s="52">
        <f t="shared" si="33"/>
        <v>-19674.750913053886</v>
      </c>
      <c r="AC44" s="52">
        <f t="shared" si="33"/>
        <v>-20109.410903726526</v>
      </c>
      <c r="AD44" s="56">
        <f t="shared" ref="AD44:AD47" si="34">SUM(J44:AC44)</f>
        <v>-301748.11631738115</v>
      </c>
      <c r="AE44" s="21"/>
      <c r="AF44" s="22"/>
      <c r="AG44" s="22"/>
    </row>
    <row r="45" spans="1:33" ht="10.5">
      <c r="A45" s="70"/>
      <c r="B45" s="17"/>
      <c r="C45" s="25"/>
      <c r="D45" s="70"/>
      <c r="E45" s="70"/>
      <c r="F45" s="73" t="s">
        <v>139</v>
      </c>
      <c r="G45" s="25"/>
      <c r="H45" s="149"/>
      <c r="I45" s="52"/>
      <c r="J45" s="52">
        <f>IF((J43+J44)&lt;0,0,(J43+J44))</f>
        <v>0</v>
      </c>
      <c r="K45" s="52">
        <f t="shared" ref="K45:AC45" si="35">IF((K43+K44)&lt;0,0,(K43+K44))</f>
        <v>0</v>
      </c>
      <c r="L45" s="52">
        <f t="shared" si="35"/>
        <v>0</v>
      </c>
      <c r="M45" s="52">
        <f t="shared" si="35"/>
        <v>0</v>
      </c>
      <c r="N45" s="52">
        <f t="shared" si="35"/>
        <v>0</v>
      </c>
      <c r="O45" s="52">
        <f t="shared" si="35"/>
        <v>0</v>
      </c>
      <c r="P45" s="52">
        <f t="shared" si="35"/>
        <v>0</v>
      </c>
      <c r="Q45" s="52">
        <f t="shared" si="35"/>
        <v>0</v>
      </c>
      <c r="R45" s="52">
        <f t="shared" si="35"/>
        <v>0</v>
      </c>
      <c r="S45" s="52">
        <f t="shared" si="35"/>
        <v>0</v>
      </c>
      <c r="T45" s="52">
        <f t="shared" si="35"/>
        <v>0</v>
      </c>
      <c r="U45" s="52">
        <f t="shared" si="35"/>
        <v>0</v>
      </c>
      <c r="V45" s="52">
        <f t="shared" si="35"/>
        <v>0</v>
      </c>
      <c r="W45" s="52">
        <f t="shared" si="35"/>
        <v>0</v>
      </c>
      <c r="X45" s="52">
        <f t="shared" si="35"/>
        <v>0</v>
      </c>
      <c r="Y45" s="52">
        <f t="shared" si="35"/>
        <v>0</v>
      </c>
      <c r="Z45" s="52">
        <f t="shared" si="35"/>
        <v>0</v>
      </c>
      <c r="AA45" s="52">
        <f t="shared" si="35"/>
        <v>0</v>
      </c>
      <c r="AB45" s="52">
        <f t="shared" si="35"/>
        <v>0</v>
      </c>
      <c r="AC45" s="52">
        <f t="shared" si="35"/>
        <v>0</v>
      </c>
      <c r="AD45" s="56">
        <f t="shared" si="34"/>
        <v>0</v>
      </c>
      <c r="AE45" s="21"/>
      <c r="AF45" s="22"/>
      <c r="AG45" s="22"/>
    </row>
    <row r="46" spans="1:33" ht="10.5">
      <c r="B46" s="20"/>
      <c r="C46" s="24"/>
      <c r="F46" s="75" t="s">
        <v>135</v>
      </c>
      <c r="G46" s="24"/>
      <c r="H46" s="93"/>
      <c r="I46" s="52"/>
      <c r="J46" s="51">
        <f>IF(J43 + J44&gt;0,0,J43+J44)</f>
        <v>-1936.5000360720005</v>
      </c>
      <c r="K46" s="51">
        <f t="shared" ref="K46:AC46" si="36">IF(K43 + K44&gt;0,0,K43+K44)</f>
        <v>-14201.540670512746</v>
      </c>
      <c r="L46" s="51">
        <f t="shared" si="36"/>
        <v>-26766.863705926844</v>
      </c>
      <c r="M46" s="51">
        <f t="shared" si="36"/>
        <v>-39645.692687003611</v>
      </c>
      <c r="N46" s="51">
        <f t="shared" si="36"/>
        <v>-52851.873950719018</v>
      </c>
      <c r="O46" s="51">
        <f t="shared" si="36"/>
        <v>-66399.907122317309</v>
      </c>
      <c r="P46" s="51">
        <f t="shared" si="36"/>
        <v>-80304.977131447158</v>
      </c>
      <c r="Q46" s="51">
        <f t="shared" si="36"/>
        <v>-94582.987824612122</v>
      </c>
      <c r="R46" s="51">
        <f t="shared" si="36"/>
        <v>-109250.59725390401</v>
      </c>
      <c r="S46" s="51">
        <f t="shared" si="36"/>
        <v>-124325.25472598663</v>
      </c>
      <c r="T46" s="51">
        <f t="shared" si="36"/>
        <v>-139825.23969949485</v>
      </c>
      <c r="U46" s="51">
        <f t="shared" si="36"/>
        <v>-155769.70262342039</v>
      </c>
      <c r="V46" s="51">
        <f t="shared" si="36"/>
        <v>-172178.70781368119</v>
      </c>
      <c r="W46" s="51">
        <f t="shared" si="36"/>
        <v>-189073.27846992671</v>
      </c>
      <c r="X46" s="51">
        <f t="shared" si="36"/>
        <v>-206475.44393972855</v>
      </c>
      <c r="Y46" s="51">
        <f t="shared" si="36"/>
        <v>-224408.28934265545</v>
      </c>
      <c r="Z46" s="51">
        <f t="shared" si="36"/>
        <v>-242896.00767234771</v>
      </c>
      <c r="AA46" s="51">
        <f t="shared" si="36"/>
        <v>-261963.95450060072</v>
      </c>
      <c r="AB46" s="51">
        <f t="shared" si="36"/>
        <v>-281638.70541365462</v>
      </c>
      <c r="AC46" s="51">
        <f t="shared" si="36"/>
        <v>-301748.11631738115</v>
      </c>
      <c r="AD46" s="78"/>
      <c r="AE46" s="21"/>
      <c r="AF46" s="22"/>
      <c r="AG46" s="22"/>
    </row>
    <row r="47" spans="1:33" ht="10.5">
      <c r="A47" s="70"/>
      <c r="B47" s="17"/>
      <c r="C47" s="25"/>
      <c r="D47" s="70" t="s">
        <v>138</v>
      </c>
      <c r="E47" s="73"/>
      <c r="F47" s="25"/>
      <c r="G47" s="149"/>
      <c r="H47" s="52"/>
      <c r="I47" s="52"/>
      <c r="J47" s="52">
        <f t="shared" ref="J47:AC47" si="37">IF(J44&lt;0,0,J44-J43)</f>
        <v>0</v>
      </c>
      <c r="K47" s="52">
        <f t="shared" si="37"/>
        <v>0</v>
      </c>
      <c r="L47" s="52">
        <f t="shared" si="37"/>
        <v>0</v>
      </c>
      <c r="M47" s="52">
        <f t="shared" si="37"/>
        <v>0</v>
      </c>
      <c r="N47" s="52">
        <f t="shared" si="37"/>
        <v>0</v>
      </c>
      <c r="O47" s="52">
        <f t="shared" si="37"/>
        <v>0</v>
      </c>
      <c r="P47" s="52">
        <f t="shared" si="37"/>
        <v>0</v>
      </c>
      <c r="Q47" s="52">
        <f t="shared" si="37"/>
        <v>0</v>
      </c>
      <c r="R47" s="52">
        <f t="shared" si="37"/>
        <v>0</v>
      </c>
      <c r="S47" s="52">
        <f t="shared" si="37"/>
        <v>0</v>
      </c>
      <c r="T47" s="52">
        <f t="shared" si="37"/>
        <v>0</v>
      </c>
      <c r="U47" s="52">
        <f t="shared" si="37"/>
        <v>0</v>
      </c>
      <c r="V47" s="51">
        <f t="shared" si="37"/>
        <v>0</v>
      </c>
      <c r="W47" s="51">
        <f t="shared" si="37"/>
        <v>0</v>
      </c>
      <c r="X47" s="51">
        <f t="shared" si="37"/>
        <v>0</v>
      </c>
      <c r="Y47" s="51">
        <f t="shared" si="37"/>
        <v>0</v>
      </c>
      <c r="Z47" s="51">
        <f t="shared" si="37"/>
        <v>0</v>
      </c>
      <c r="AA47" s="51">
        <f t="shared" si="37"/>
        <v>0</v>
      </c>
      <c r="AB47" s="51">
        <f t="shared" si="37"/>
        <v>0</v>
      </c>
      <c r="AC47" s="51">
        <f t="shared" si="37"/>
        <v>0</v>
      </c>
      <c r="AD47" s="56">
        <f t="shared" si="34"/>
        <v>0</v>
      </c>
      <c r="AE47" s="21"/>
      <c r="AF47" s="22"/>
      <c r="AG47" s="22"/>
    </row>
    <row r="48" spans="1:33" ht="10.5">
      <c r="B48" s="20"/>
      <c r="C48" s="24"/>
      <c r="E48" s="75"/>
      <c r="F48" s="24"/>
      <c r="G48" s="93"/>
      <c r="H48" s="52"/>
      <c r="I48" s="52"/>
      <c r="J48" s="51"/>
      <c r="K48" s="51"/>
      <c r="L48" s="51"/>
      <c r="M48" s="51"/>
      <c r="N48" s="51"/>
      <c r="O48" s="51"/>
      <c r="P48" s="51"/>
      <c r="Q48" s="51"/>
      <c r="R48" s="51"/>
      <c r="S48" s="51"/>
      <c r="T48" s="51"/>
      <c r="U48" s="51"/>
      <c r="V48" s="51"/>
      <c r="W48" s="51"/>
      <c r="X48" s="51"/>
      <c r="Y48" s="51"/>
      <c r="Z48" s="51"/>
      <c r="AA48" s="51"/>
      <c r="AB48" s="51"/>
      <c r="AC48" s="51"/>
      <c r="AD48" s="21"/>
      <c r="AE48" s="21"/>
      <c r="AF48" s="22"/>
      <c r="AG48" s="22"/>
    </row>
    <row r="49" spans="2:36" ht="10.5">
      <c r="B49" s="20"/>
      <c r="C49" s="24"/>
      <c r="D49" s="75" t="s">
        <v>137</v>
      </c>
      <c r="E49" s="75"/>
      <c r="F49" s="24"/>
      <c r="G49" s="93"/>
      <c r="H49" s="52"/>
      <c r="I49" s="52"/>
      <c r="J49" s="51"/>
      <c r="K49" s="51"/>
      <c r="L49" s="51"/>
      <c r="M49" s="51"/>
      <c r="N49" s="51"/>
      <c r="O49" s="51"/>
      <c r="P49" s="51"/>
      <c r="Q49" s="51"/>
      <c r="R49" s="51"/>
      <c r="S49" s="51"/>
      <c r="T49" s="51"/>
      <c r="U49" s="51"/>
      <c r="V49" s="51"/>
      <c r="W49" s="51"/>
      <c r="X49" s="51"/>
      <c r="Y49" s="51"/>
      <c r="Z49" s="51"/>
      <c r="AA49" s="51"/>
      <c r="AB49" s="51"/>
      <c r="AC49" s="51"/>
      <c r="AD49" s="21"/>
      <c r="AE49" s="21"/>
      <c r="AF49" s="22"/>
      <c r="AG49" s="22"/>
    </row>
    <row r="50" spans="2:36" ht="10.5">
      <c r="B50" s="20"/>
      <c r="C50" s="24"/>
      <c r="E50" s="75" t="s">
        <v>129</v>
      </c>
      <c r="F50" s="24"/>
      <c r="G50" s="93"/>
      <c r="H50" s="52"/>
      <c r="I50" s="52"/>
      <c r="J50" s="65">
        <f>J103</f>
        <v>148920</v>
      </c>
      <c r="K50" s="51">
        <f>J53</f>
        <v>148920</v>
      </c>
      <c r="L50" s="51">
        <f t="shared" ref="L50:AC50" si="38">K53</f>
        <v>148920</v>
      </c>
      <c r="M50" s="51">
        <f t="shared" si="38"/>
        <v>148920</v>
      </c>
      <c r="N50" s="51">
        <f t="shared" si="38"/>
        <v>148920</v>
      </c>
      <c r="O50" s="51">
        <f t="shared" si="38"/>
        <v>148920</v>
      </c>
      <c r="P50" s="51">
        <f t="shared" si="38"/>
        <v>148920</v>
      </c>
      <c r="Q50" s="51">
        <f t="shared" si="38"/>
        <v>148920</v>
      </c>
      <c r="R50" s="51">
        <f t="shared" si="38"/>
        <v>148920</v>
      </c>
      <c r="S50" s="51">
        <f t="shared" si="38"/>
        <v>148920</v>
      </c>
      <c r="T50" s="51">
        <f t="shared" si="38"/>
        <v>148920</v>
      </c>
      <c r="U50" s="51">
        <f t="shared" si="38"/>
        <v>148920</v>
      </c>
      <c r="V50" s="51">
        <f t="shared" si="38"/>
        <v>148920</v>
      </c>
      <c r="W50" s="51">
        <f t="shared" si="38"/>
        <v>148920</v>
      </c>
      <c r="X50" s="51">
        <f t="shared" si="38"/>
        <v>148920</v>
      </c>
      <c r="Y50" s="51">
        <f t="shared" si="38"/>
        <v>148920</v>
      </c>
      <c r="Z50" s="51">
        <f t="shared" si="38"/>
        <v>148920</v>
      </c>
      <c r="AA50" s="51">
        <f t="shared" si="38"/>
        <v>148920</v>
      </c>
      <c r="AB50" s="51">
        <f t="shared" si="38"/>
        <v>148920</v>
      </c>
      <c r="AC50" s="51">
        <f t="shared" si="38"/>
        <v>148920</v>
      </c>
      <c r="AD50" s="78"/>
      <c r="AE50" s="21"/>
      <c r="AF50" s="22"/>
      <c r="AG50" s="22"/>
    </row>
    <row r="51" spans="2:36" ht="10.5">
      <c r="B51" s="20"/>
      <c r="C51" s="24"/>
      <c r="E51" s="75" t="s">
        <v>130</v>
      </c>
      <c r="F51" s="24"/>
      <c r="G51" s="93"/>
      <c r="H51" s="164">
        <f>H137</f>
        <v>0.08</v>
      </c>
      <c r="I51" s="52"/>
      <c r="J51" s="65">
        <f>J50 * H51</f>
        <v>11913.6</v>
      </c>
      <c r="K51" s="51">
        <f>K50 * $H51</f>
        <v>11913.6</v>
      </c>
      <c r="L51" s="51">
        <f t="shared" ref="L51:AB51" si="39">L50 * $H51</f>
        <v>11913.6</v>
      </c>
      <c r="M51" s="51">
        <f t="shared" si="39"/>
        <v>11913.6</v>
      </c>
      <c r="N51" s="51">
        <f t="shared" si="39"/>
        <v>11913.6</v>
      </c>
      <c r="O51" s="51">
        <f t="shared" si="39"/>
        <v>11913.6</v>
      </c>
      <c r="P51" s="51">
        <f t="shared" si="39"/>
        <v>11913.6</v>
      </c>
      <c r="Q51" s="51">
        <f t="shared" si="39"/>
        <v>11913.6</v>
      </c>
      <c r="R51" s="51">
        <f t="shared" si="39"/>
        <v>11913.6</v>
      </c>
      <c r="S51" s="51">
        <f t="shared" si="39"/>
        <v>11913.6</v>
      </c>
      <c r="T51" s="51">
        <f t="shared" si="39"/>
        <v>11913.6</v>
      </c>
      <c r="U51" s="51">
        <f t="shared" si="39"/>
        <v>11913.6</v>
      </c>
      <c r="V51" s="51">
        <f t="shared" si="39"/>
        <v>11913.6</v>
      </c>
      <c r="W51" s="51">
        <f t="shared" si="39"/>
        <v>11913.6</v>
      </c>
      <c r="X51" s="51">
        <f t="shared" si="39"/>
        <v>11913.6</v>
      </c>
      <c r="Y51" s="51">
        <f t="shared" si="39"/>
        <v>11913.6</v>
      </c>
      <c r="Z51" s="51">
        <f t="shared" si="39"/>
        <v>11913.6</v>
      </c>
      <c r="AA51" s="51">
        <f t="shared" si="39"/>
        <v>11913.6</v>
      </c>
      <c r="AB51" s="51">
        <f t="shared" si="39"/>
        <v>11913.6</v>
      </c>
      <c r="AC51" s="65">
        <f>AC50</f>
        <v>148920</v>
      </c>
      <c r="AD51" s="78"/>
      <c r="AE51" s="21"/>
      <c r="AF51" s="22"/>
      <c r="AG51" s="22"/>
    </row>
    <row r="52" spans="2:36" ht="10.5">
      <c r="B52" s="20"/>
      <c r="C52" s="24"/>
      <c r="E52" s="75" t="s">
        <v>132</v>
      </c>
      <c r="F52" s="24"/>
      <c r="G52" s="93"/>
      <c r="H52" s="164"/>
      <c r="I52" s="52"/>
      <c r="J52" s="52">
        <f>IF(J51&gt;J45,J45,J51)</f>
        <v>0</v>
      </c>
      <c r="K52" s="52">
        <f t="shared" ref="K52:AC52" si="40">IF(K51&gt;K45,K45,K51)</f>
        <v>0</v>
      </c>
      <c r="L52" s="52">
        <f t="shared" si="40"/>
        <v>0</v>
      </c>
      <c r="M52" s="52">
        <f t="shared" si="40"/>
        <v>0</v>
      </c>
      <c r="N52" s="52">
        <f t="shared" si="40"/>
        <v>0</v>
      </c>
      <c r="O52" s="52">
        <f t="shared" si="40"/>
        <v>0</v>
      </c>
      <c r="P52" s="52">
        <f t="shared" si="40"/>
        <v>0</v>
      </c>
      <c r="Q52" s="52">
        <f t="shared" si="40"/>
        <v>0</v>
      </c>
      <c r="R52" s="52">
        <f t="shared" si="40"/>
        <v>0</v>
      </c>
      <c r="S52" s="52">
        <f t="shared" si="40"/>
        <v>0</v>
      </c>
      <c r="T52" s="52">
        <f t="shared" si="40"/>
        <v>0</v>
      </c>
      <c r="U52" s="52">
        <f t="shared" si="40"/>
        <v>0</v>
      </c>
      <c r="V52" s="52">
        <f t="shared" si="40"/>
        <v>0</v>
      </c>
      <c r="W52" s="52">
        <f t="shared" si="40"/>
        <v>0</v>
      </c>
      <c r="X52" s="52">
        <f t="shared" si="40"/>
        <v>0</v>
      </c>
      <c r="Y52" s="52">
        <f t="shared" si="40"/>
        <v>0</v>
      </c>
      <c r="Z52" s="52">
        <f t="shared" si="40"/>
        <v>0</v>
      </c>
      <c r="AA52" s="52">
        <f t="shared" si="40"/>
        <v>0</v>
      </c>
      <c r="AB52" s="52">
        <f t="shared" si="40"/>
        <v>0</v>
      </c>
      <c r="AC52" s="52">
        <f t="shared" si="40"/>
        <v>0</v>
      </c>
      <c r="AD52" s="56">
        <f t="shared" ref="AD52:AD56" si="41">SUM(J52:AC52)</f>
        <v>0</v>
      </c>
      <c r="AE52" s="21"/>
      <c r="AF52" s="22"/>
      <c r="AG52" s="22"/>
    </row>
    <row r="53" spans="2:36" ht="10.5">
      <c r="B53" s="20"/>
      <c r="C53" s="24"/>
      <c r="E53" s="75" t="s">
        <v>131</v>
      </c>
      <c r="F53" s="24"/>
      <c r="G53" s="93"/>
      <c r="H53" s="52"/>
      <c r="I53" s="52"/>
      <c r="J53" s="52">
        <f>J50 - J52</f>
        <v>148920</v>
      </c>
      <c r="K53" s="52">
        <f t="shared" ref="K53:AC53" si="42">K50 - K52</f>
        <v>148920</v>
      </c>
      <c r="L53" s="52">
        <f t="shared" si="42"/>
        <v>148920</v>
      </c>
      <c r="M53" s="52">
        <f t="shared" si="42"/>
        <v>148920</v>
      </c>
      <c r="N53" s="52">
        <f t="shared" si="42"/>
        <v>148920</v>
      </c>
      <c r="O53" s="52">
        <f t="shared" si="42"/>
        <v>148920</v>
      </c>
      <c r="P53" s="52">
        <f t="shared" si="42"/>
        <v>148920</v>
      </c>
      <c r="Q53" s="52">
        <f t="shared" si="42"/>
        <v>148920</v>
      </c>
      <c r="R53" s="52">
        <f t="shared" si="42"/>
        <v>148920</v>
      </c>
      <c r="S53" s="52">
        <f t="shared" si="42"/>
        <v>148920</v>
      </c>
      <c r="T53" s="52">
        <f t="shared" si="42"/>
        <v>148920</v>
      </c>
      <c r="U53" s="52">
        <f t="shared" si="42"/>
        <v>148920</v>
      </c>
      <c r="V53" s="52">
        <f t="shared" si="42"/>
        <v>148920</v>
      </c>
      <c r="W53" s="52">
        <f t="shared" si="42"/>
        <v>148920</v>
      </c>
      <c r="X53" s="52">
        <f t="shared" si="42"/>
        <v>148920</v>
      </c>
      <c r="Y53" s="52">
        <f t="shared" si="42"/>
        <v>148920</v>
      </c>
      <c r="Z53" s="52">
        <f t="shared" si="42"/>
        <v>148920</v>
      </c>
      <c r="AA53" s="52">
        <f t="shared" si="42"/>
        <v>148920</v>
      </c>
      <c r="AB53" s="52">
        <f t="shared" si="42"/>
        <v>148920</v>
      </c>
      <c r="AC53" s="52">
        <f t="shared" si="42"/>
        <v>148920</v>
      </c>
      <c r="AD53" s="78"/>
      <c r="AE53" s="21"/>
      <c r="AF53" s="22"/>
      <c r="AG53" s="22"/>
    </row>
    <row r="54" spans="2:36" ht="10.5">
      <c r="B54" s="20"/>
      <c r="C54" s="24"/>
      <c r="D54" s="14" t="s">
        <v>141</v>
      </c>
      <c r="E54" s="75"/>
      <c r="F54" s="24"/>
      <c r="G54" s="93"/>
      <c r="H54" s="52"/>
      <c r="I54" s="52"/>
      <c r="J54" s="52">
        <f>J45 - J52</f>
        <v>0</v>
      </c>
      <c r="K54" s="52">
        <f t="shared" ref="K54:AC54" si="43">K45 - K52</f>
        <v>0</v>
      </c>
      <c r="L54" s="52">
        <f t="shared" si="43"/>
        <v>0</v>
      </c>
      <c r="M54" s="52">
        <f t="shared" si="43"/>
        <v>0</v>
      </c>
      <c r="N54" s="52">
        <f t="shared" si="43"/>
        <v>0</v>
      </c>
      <c r="O54" s="52">
        <f t="shared" si="43"/>
        <v>0</v>
      </c>
      <c r="P54" s="52">
        <f t="shared" si="43"/>
        <v>0</v>
      </c>
      <c r="Q54" s="52">
        <f t="shared" si="43"/>
        <v>0</v>
      </c>
      <c r="R54" s="52">
        <f t="shared" si="43"/>
        <v>0</v>
      </c>
      <c r="S54" s="52">
        <f t="shared" si="43"/>
        <v>0</v>
      </c>
      <c r="T54" s="52">
        <f t="shared" si="43"/>
        <v>0</v>
      </c>
      <c r="U54" s="52">
        <f t="shared" si="43"/>
        <v>0</v>
      </c>
      <c r="V54" s="52">
        <f t="shared" si="43"/>
        <v>0</v>
      </c>
      <c r="W54" s="52">
        <f t="shared" si="43"/>
        <v>0</v>
      </c>
      <c r="X54" s="52">
        <f t="shared" si="43"/>
        <v>0</v>
      </c>
      <c r="Y54" s="52">
        <f t="shared" si="43"/>
        <v>0</v>
      </c>
      <c r="Z54" s="52">
        <f t="shared" si="43"/>
        <v>0</v>
      </c>
      <c r="AA54" s="52">
        <f t="shared" si="43"/>
        <v>0</v>
      </c>
      <c r="AB54" s="52">
        <f t="shared" si="43"/>
        <v>0</v>
      </c>
      <c r="AC54" s="52">
        <f t="shared" si="43"/>
        <v>0</v>
      </c>
      <c r="AD54" s="56">
        <f t="shared" si="41"/>
        <v>0</v>
      </c>
      <c r="AE54" s="21"/>
      <c r="AF54" s="22"/>
      <c r="AG54" s="22"/>
    </row>
    <row r="55" spans="2:36" ht="10.5">
      <c r="B55" s="20"/>
      <c r="C55" s="24"/>
      <c r="D55" s="75" t="s">
        <v>133</v>
      </c>
      <c r="E55" s="24"/>
      <c r="F55" s="24"/>
      <c r="G55" s="93"/>
      <c r="H55" s="164">
        <f>H136</f>
        <v>0.17</v>
      </c>
      <c r="I55" s="52"/>
      <c r="J55" s="51">
        <f>J54 * $H55</f>
        <v>0</v>
      </c>
      <c r="K55" s="51">
        <f t="shared" ref="K55:AC55" si="44">K54 * $H55</f>
        <v>0</v>
      </c>
      <c r="L55" s="51">
        <f t="shared" si="44"/>
        <v>0</v>
      </c>
      <c r="M55" s="51">
        <f t="shared" si="44"/>
        <v>0</v>
      </c>
      <c r="N55" s="51">
        <f t="shared" si="44"/>
        <v>0</v>
      </c>
      <c r="O55" s="51">
        <f t="shared" si="44"/>
        <v>0</v>
      </c>
      <c r="P55" s="51">
        <f t="shared" si="44"/>
        <v>0</v>
      </c>
      <c r="Q55" s="51">
        <f t="shared" si="44"/>
        <v>0</v>
      </c>
      <c r="R55" s="51">
        <f t="shared" si="44"/>
        <v>0</v>
      </c>
      <c r="S55" s="51">
        <f t="shared" si="44"/>
        <v>0</v>
      </c>
      <c r="T55" s="51">
        <f t="shared" si="44"/>
        <v>0</v>
      </c>
      <c r="U55" s="51">
        <f t="shared" si="44"/>
        <v>0</v>
      </c>
      <c r="V55" s="51">
        <f t="shared" si="44"/>
        <v>0</v>
      </c>
      <c r="W55" s="51">
        <f t="shared" si="44"/>
        <v>0</v>
      </c>
      <c r="X55" s="51">
        <f t="shared" si="44"/>
        <v>0</v>
      </c>
      <c r="Y55" s="51">
        <f t="shared" si="44"/>
        <v>0</v>
      </c>
      <c r="Z55" s="51">
        <f t="shared" si="44"/>
        <v>0</v>
      </c>
      <c r="AA55" s="51">
        <f t="shared" si="44"/>
        <v>0</v>
      </c>
      <c r="AB55" s="51">
        <f t="shared" si="44"/>
        <v>0</v>
      </c>
      <c r="AC55" s="51">
        <f t="shared" si="44"/>
        <v>0</v>
      </c>
      <c r="AD55" s="56">
        <f t="shared" si="41"/>
        <v>0</v>
      </c>
      <c r="AE55" s="21"/>
      <c r="AF55" s="22"/>
      <c r="AG55" s="22"/>
    </row>
    <row r="56" spans="2:36" ht="10.5">
      <c r="B56" s="24"/>
      <c r="C56" s="24"/>
      <c r="D56" s="75" t="s">
        <v>134</v>
      </c>
      <c r="E56" s="24"/>
      <c r="F56" s="24"/>
      <c r="G56" s="93"/>
      <c r="H56" s="52"/>
      <c r="I56" s="52"/>
      <c r="J56" s="51">
        <f t="shared" ref="J56:AC56" si="45">J20 - J55</f>
        <v>-1936.5000360720005</v>
      </c>
      <c r="K56" s="51">
        <f t="shared" si="45"/>
        <v>-12265.040634440746</v>
      </c>
      <c r="L56" s="51">
        <f t="shared" si="45"/>
        <v>-12565.323035414098</v>
      </c>
      <c r="M56" s="51">
        <f t="shared" si="45"/>
        <v>-12878.828981076764</v>
      </c>
      <c r="N56" s="51">
        <f t="shared" si="45"/>
        <v>-13206.181263715407</v>
      </c>
      <c r="O56" s="51">
        <f t="shared" si="45"/>
        <v>-13548.033171598294</v>
      </c>
      <c r="P56" s="51">
        <f t="shared" si="45"/>
        <v>-13905.070009129853</v>
      </c>
      <c r="Q56" s="51">
        <f t="shared" si="45"/>
        <v>-14278.010693164964</v>
      </c>
      <c r="R56" s="51">
        <f t="shared" si="45"/>
        <v>-14667.609429291882</v>
      </c>
      <c r="S56" s="51">
        <f t="shared" si="45"/>
        <v>-15074.65747208261</v>
      </c>
      <c r="T56" s="51">
        <f t="shared" si="45"/>
        <v>-15499.984973508224</v>
      </c>
      <c r="U56" s="51">
        <f t="shared" si="45"/>
        <v>-15944.462923925552</v>
      </c>
      <c r="V56" s="51">
        <f t="shared" si="45"/>
        <v>-16409.005190260792</v>
      </c>
      <c r="W56" s="51">
        <f t="shared" si="45"/>
        <v>-16894.570656245513</v>
      </c>
      <c r="X56" s="51">
        <f t="shared" si="45"/>
        <v>-17402.165469801832</v>
      </c>
      <c r="Y56" s="51">
        <f t="shared" si="45"/>
        <v>-17932.845402926891</v>
      </c>
      <c r="Z56" s="51">
        <f t="shared" si="45"/>
        <v>-18487.718329692249</v>
      </c>
      <c r="AA56" s="51">
        <f t="shared" si="45"/>
        <v>-19067.946828253007</v>
      </c>
      <c r="AB56" s="51">
        <f t="shared" si="45"/>
        <v>-19674.750913053886</v>
      </c>
      <c r="AC56" s="51">
        <f t="shared" si="45"/>
        <v>-20109.410903726526</v>
      </c>
      <c r="AD56" s="56">
        <f t="shared" si="41"/>
        <v>-301748.11631738115</v>
      </c>
      <c r="AE56" s="21"/>
      <c r="AF56" s="22"/>
      <c r="AG56" s="22"/>
    </row>
    <row r="57" spans="2:36" ht="10.5">
      <c r="B57" s="24"/>
      <c r="C57" s="24"/>
      <c r="D57" s="75" t="s">
        <v>147</v>
      </c>
      <c r="E57" s="24"/>
      <c r="F57" s="24"/>
      <c r="G57" s="93"/>
      <c r="H57" s="52"/>
      <c r="I57" s="52"/>
      <c r="J57" s="65">
        <f>J56</f>
        <v>-1936.5000360720005</v>
      </c>
      <c r="K57" s="51">
        <f>J57 + K56</f>
        <v>-14201.540670512746</v>
      </c>
      <c r="L57" s="51">
        <f t="shared" ref="L57:AC57" si="46">K57 + L56</f>
        <v>-26766.863705926844</v>
      </c>
      <c r="M57" s="51">
        <f t="shared" si="46"/>
        <v>-39645.692687003611</v>
      </c>
      <c r="N57" s="51">
        <f t="shared" si="46"/>
        <v>-52851.873950719018</v>
      </c>
      <c r="O57" s="51">
        <f t="shared" si="46"/>
        <v>-66399.907122317309</v>
      </c>
      <c r="P57" s="51">
        <f t="shared" si="46"/>
        <v>-80304.977131447158</v>
      </c>
      <c r="Q57" s="51">
        <f t="shared" si="46"/>
        <v>-94582.987824612122</v>
      </c>
      <c r="R57" s="51">
        <f t="shared" si="46"/>
        <v>-109250.59725390401</v>
      </c>
      <c r="S57" s="51">
        <f t="shared" si="46"/>
        <v>-124325.25472598663</v>
      </c>
      <c r="T57" s="51">
        <f t="shared" si="46"/>
        <v>-139825.23969949485</v>
      </c>
      <c r="U57" s="51">
        <f t="shared" si="46"/>
        <v>-155769.70262342039</v>
      </c>
      <c r="V57" s="51">
        <f t="shared" si="46"/>
        <v>-172178.70781368119</v>
      </c>
      <c r="W57" s="51">
        <f t="shared" si="46"/>
        <v>-189073.27846992671</v>
      </c>
      <c r="X57" s="51">
        <f t="shared" si="46"/>
        <v>-206475.44393972855</v>
      </c>
      <c r="Y57" s="51">
        <f t="shared" si="46"/>
        <v>-224408.28934265545</v>
      </c>
      <c r="Z57" s="51">
        <f t="shared" si="46"/>
        <v>-242896.00767234771</v>
      </c>
      <c r="AA57" s="51">
        <f t="shared" si="46"/>
        <v>-261963.95450060072</v>
      </c>
      <c r="AB57" s="51">
        <f t="shared" si="46"/>
        <v>-281638.70541365462</v>
      </c>
      <c r="AC57" s="51">
        <f t="shared" si="46"/>
        <v>-301748.11631738115</v>
      </c>
      <c r="AD57" s="78"/>
      <c r="AE57" s="21"/>
      <c r="AF57" s="22"/>
      <c r="AG57" s="22"/>
    </row>
    <row r="58" spans="2:36">
      <c r="B58" s="24"/>
      <c r="C58" s="24"/>
      <c r="D58" s="75"/>
      <c r="E58" s="24"/>
      <c r="F58" s="24"/>
      <c r="G58" s="93"/>
      <c r="H58" s="52"/>
      <c r="I58" s="52"/>
      <c r="J58" s="51"/>
      <c r="K58" s="51"/>
      <c r="L58" s="51"/>
      <c r="M58" s="51"/>
      <c r="N58" s="51"/>
      <c r="O58" s="51"/>
      <c r="P58" s="51"/>
      <c r="Q58" s="51"/>
      <c r="R58" s="51"/>
      <c r="S58" s="51"/>
      <c r="T58" s="51"/>
      <c r="U58" s="51"/>
      <c r="V58" s="51"/>
      <c r="W58" s="51"/>
      <c r="X58" s="51"/>
      <c r="Y58" s="51"/>
      <c r="Z58" s="51"/>
      <c r="AA58" s="51"/>
      <c r="AB58" s="51"/>
      <c r="AC58" s="51"/>
      <c r="AD58" s="21"/>
      <c r="AE58" s="21"/>
      <c r="AF58" s="22"/>
      <c r="AG58" s="22"/>
    </row>
    <row r="59" spans="2:36" ht="10.5">
      <c r="B59" s="20">
        <v>5</v>
      </c>
      <c r="C59" s="18" t="s">
        <v>61</v>
      </c>
      <c r="D59" s="24"/>
      <c r="E59" s="24"/>
      <c r="F59" s="24"/>
      <c r="G59" s="93"/>
      <c r="H59" s="94"/>
      <c r="I59" s="94"/>
      <c r="J59" s="53" t="s">
        <v>46</v>
      </c>
      <c r="K59" s="53" t="s">
        <v>46</v>
      </c>
      <c r="L59" s="53" t="s">
        <v>46</v>
      </c>
      <c r="M59" s="53" t="s">
        <v>46</v>
      </c>
      <c r="N59" s="53" t="s">
        <v>46</v>
      </c>
      <c r="O59" s="53" t="s">
        <v>46</v>
      </c>
      <c r="P59" s="53" t="s">
        <v>46</v>
      </c>
      <c r="Q59" s="53" t="s">
        <v>46</v>
      </c>
      <c r="R59" s="53" t="s">
        <v>46</v>
      </c>
      <c r="S59" s="53" t="s">
        <v>46</v>
      </c>
      <c r="T59" s="53" t="s">
        <v>46</v>
      </c>
      <c r="U59" s="53" t="s">
        <v>46</v>
      </c>
      <c r="V59" s="53" t="s">
        <v>46</v>
      </c>
      <c r="W59" s="53" t="s">
        <v>46</v>
      </c>
      <c r="X59" s="53" t="s">
        <v>46</v>
      </c>
      <c r="Y59" s="53" t="s">
        <v>46</v>
      </c>
      <c r="Z59" s="53" t="s">
        <v>46</v>
      </c>
      <c r="AA59" s="53" t="s">
        <v>46</v>
      </c>
      <c r="AB59" s="53" t="s">
        <v>46</v>
      </c>
      <c r="AC59" s="53" t="s">
        <v>46</v>
      </c>
      <c r="AD59" s="53" t="s">
        <v>46</v>
      </c>
      <c r="AE59" s="21"/>
      <c r="AF59" s="22"/>
      <c r="AG59" s="22"/>
    </row>
    <row r="60" spans="2:36" ht="10.5">
      <c r="B60" s="20"/>
      <c r="C60" s="18"/>
      <c r="D60" s="24" t="s">
        <v>148</v>
      </c>
      <c r="E60" s="24"/>
      <c r="F60" s="24"/>
      <c r="G60" s="93"/>
      <c r="H60" s="94"/>
      <c r="I60" s="94"/>
      <c r="J60" s="167">
        <f>IF(J57 &gt;0,J57,0)</f>
        <v>0</v>
      </c>
      <c r="K60" s="167">
        <f t="shared" ref="K60:AC60" si="47">IF(K57 &gt;0,K57,0)</f>
        <v>0</v>
      </c>
      <c r="L60" s="167">
        <f t="shared" si="47"/>
        <v>0</v>
      </c>
      <c r="M60" s="167">
        <f t="shared" si="47"/>
        <v>0</v>
      </c>
      <c r="N60" s="167">
        <f t="shared" si="47"/>
        <v>0</v>
      </c>
      <c r="O60" s="167">
        <f t="shared" si="47"/>
        <v>0</v>
      </c>
      <c r="P60" s="167">
        <f t="shared" si="47"/>
        <v>0</v>
      </c>
      <c r="Q60" s="167">
        <f t="shared" si="47"/>
        <v>0</v>
      </c>
      <c r="R60" s="167">
        <f t="shared" si="47"/>
        <v>0</v>
      </c>
      <c r="S60" s="167">
        <f t="shared" si="47"/>
        <v>0</v>
      </c>
      <c r="T60" s="167">
        <f t="shared" si="47"/>
        <v>0</v>
      </c>
      <c r="U60" s="167">
        <f t="shared" si="47"/>
        <v>0</v>
      </c>
      <c r="V60" s="167">
        <f t="shared" si="47"/>
        <v>0</v>
      </c>
      <c r="W60" s="167">
        <f t="shared" si="47"/>
        <v>0</v>
      </c>
      <c r="X60" s="167">
        <f t="shared" si="47"/>
        <v>0</v>
      </c>
      <c r="Y60" s="167">
        <f t="shared" si="47"/>
        <v>0</v>
      </c>
      <c r="Z60" s="167">
        <f t="shared" si="47"/>
        <v>0</v>
      </c>
      <c r="AA60" s="167">
        <f t="shared" si="47"/>
        <v>0</v>
      </c>
      <c r="AB60" s="167">
        <f t="shared" si="47"/>
        <v>0</v>
      </c>
      <c r="AC60" s="167">
        <f t="shared" si="47"/>
        <v>0</v>
      </c>
      <c r="AD60" s="78"/>
      <c r="AE60" s="21"/>
      <c r="AF60" s="22"/>
      <c r="AG60" s="22"/>
    </row>
    <row r="61" spans="2:36" ht="10.5">
      <c r="B61" s="20"/>
      <c r="C61" s="18"/>
      <c r="D61" s="24" t="s">
        <v>150</v>
      </c>
      <c r="E61" s="24"/>
      <c r="F61" s="24"/>
      <c r="G61" s="93"/>
      <c r="H61" s="94"/>
      <c r="I61" s="94"/>
      <c r="J61" s="165">
        <v>0</v>
      </c>
      <c r="K61" s="167">
        <f>J64</f>
        <v>0</v>
      </c>
      <c r="L61" s="167">
        <f t="shared" ref="L61:AC61" si="48">K64</f>
        <v>0</v>
      </c>
      <c r="M61" s="167">
        <f t="shared" si="48"/>
        <v>0</v>
      </c>
      <c r="N61" s="167">
        <f t="shared" si="48"/>
        <v>0</v>
      </c>
      <c r="O61" s="167">
        <f t="shared" si="48"/>
        <v>0</v>
      </c>
      <c r="P61" s="167">
        <f t="shared" si="48"/>
        <v>0</v>
      </c>
      <c r="Q61" s="167">
        <f t="shared" si="48"/>
        <v>0</v>
      </c>
      <c r="R61" s="167">
        <f t="shared" si="48"/>
        <v>0</v>
      </c>
      <c r="S61" s="167">
        <f t="shared" si="48"/>
        <v>0</v>
      </c>
      <c r="T61" s="167">
        <f t="shared" si="48"/>
        <v>0</v>
      </c>
      <c r="U61" s="167">
        <f t="shared" si="48"/>
        <v>0</v>
      </c>
      <c r="V61" s="167">
        <f t="shared" si="48"/>
        <v>0</v>
      </c>
      <c r="W61" s="167">
        <f t="shared" si="48"/>
        <v>0</v>
      </c>
      <c r="X61" s="167">
        <f t="shared" si="48"/>
        <v>0</v>
      </c>
      <c r="Y61" s="167">
        <f t="shared" si="48"/>
        <v>0</v>
      </c>
      <c r="Z61" s="167">
        <f t="shared" si="48"/>
        <v>0</v>
      </c>
      <c r="AA61" s="167">
        <f t="shared" si="48"/>
        <v>0</v>
      </c>
      <c r="AB61" s="167">
        <f t="shared" si="48"/>
        <v>0</v>
      </c>
      <c r="AC61" s="167">
        <f t="shared" si="48"/>
        <v>0</v>
      </c>
      <c r="AD61" s="53"/>
      <c r="AE61" s="21"/>
      <c r="AF61" s="22"/>
      <c r="AG61" s="22"/>
    </row>
    <row r="62" spans="2:36" ht="10.5">
      <c r="B62" s="20"/>
      <c r="C62" s="18"/>
      <c r="D62" s="24" t="s">
        <v>142</v>
      </c>
      <c r="E62" s="24"/>
      <c r="F62" s="24"/>
      <c r="G62" s="93"/>
      <c r="H62" s="94"/>
      <c r="I62" s="94"/>
      <c r="J62" s="53">
        <f>J60 - J61</f>
        <v>0</v>
      </c>
      <c r="K62" s="53">
        <f t="shared" ref="K62:AC62" si="49">K60 - K61</f>
        <v>0</v>
      </c>
      <c r="L62" s="53">
        <f t="shared" si="49"/>
        <v>0</v>
      </c>
      <c r="M62" s="53">
        <f t="shared" si="49"/>
        <v>0</v>
      </c>
      <c r="N62" s="53">
        <f t="shared" si="49"/>
        <v>0</v>
      </c>
      <c r="O62" s="53">
        <f t="shared" si="49"/>
        <v>0</v>
      </c>
      <c r="P62" s="53">
        <f t="shared" si="49"/>
        <v>0</v>
      </c>
      <c r="Q62" s="53">
        <f t="shared" si="49"/>
        <v>0</v>
      </c>
      <c r="R62" s="53">
        <f t="shared" si="49"/>
        <v>0</v>
      </c>
      <c r="S62" s="53">
        <f t="shared" si="49"/>
        <v>0</v>
      </c>
      <c r="T62" s="53">
        <f t="shared" si="49"/>
        <v>0</v>
      </c>
      <c r="U62" s="53">
        <f t="shared" si="49"/>
        <v>0</v>
      </c>
      <c r="V62" s="53">
        <f t="shared" si="49"/>
        <v>0</v>
      </c>
      <c r="W62" s="53">
        <f t="shared" si="49"/>
        <v>0</v>
      </c>
      <c r="X62" s="53">
        <f t="shared" si="49"/>
        <v>0</v>
      </c>
      <c r="Y62" s="53">
        <f t="shared" si="49"/>
        <v>0</v>
      </c>
      <c r="Z62" s="53">
        <f t="shared" si="49"/>
        <v>0</v>
      </c>
      <c r="AA62" s="53">
        <f t="shared" si="49"/>
        <v>0</v>
      </c>
      <c r="AB62" s="53">
        <f>AB60 - AB61</f>
        <v>0</v>
      </c>
      <c r="AC62" s="53">
        <f t="shared" si="49"/>
        <v>0</v>
      </c>
      <c r="AD62" s="78"/>
      <c r="AE62" s="21"/>
      <c r="AF62" s="318" t="s">
        <v>154</v>
      </c>
      <c r="AG62" s="318"/>
      <c r="AH62" s="318"/>
      <c r="AI62" s="318"/>
    </row>
    <row r="63" spans="2:36" ht="22.5" customHeight="1">
      <c r="B63" s="20"/>
      <c r="C63" s="24"/>
      <c r="D63" s="62" t="s">
        <v>143</v>
      </c>
      <c r="E63" s="24"/>
      <c r="F63" s="24"/>
      <c r="G63" s="93"/>
      <c r="H63" s="64">
        <f>J112</f>
        <v>0.05</v>
      </c>
      <c r="I63" s="95" t="s">
        <v>62</v>
      </c>
      <c r="J63" s="65">
        <v>0</v>
      </c>
      <c r="K63" s="65">
        <v>0</v>
      </c>
      <c r="L63" s="65">
        <v>0</v>
      </c>
      <c r="M63" s="65">
        <v>0</v>
      </c>
      <c r="N63" s="52">
        <f t="shared" ref="N63:AB63" si="50">$H$65 * $H63</f>
        <v>7631</v>
      </c>
      <c r="O63" s="52">
        <f t="shared" si="50"/>
        <v>7631</v>
      </c>
      <c r="P63" s="52">
        <f t="shared" si="50"/>
        <v>7631</v>
      </c>
      <c r="Q63" s="52">
        <f t="shared" si="50"/>
        <v>7631</v>
      </c>
      <c r="R63" s="52">
        <f t="shared" si="50"/>
        <v>7631</v>
      </c>
      <c r="S63" s="52">
        <f t="shared" si="50"/>
        <v>7631</v>
      </c>
      <c r="T63" s="52">
        <f t="shared" si="50"/>
        <v>7631</v>
      </c>
      <c r="U63" s="52">
        <f t="shared" si="50"/>
        <v>7631</v>
      </c>
      <c r="V63" s="52">
        <f t="shared" si="50"/>
        <v>7631</v>
      </c>
      <c r="W63" s="52">
        <f t="shared" si="50"/>
        <v>7631</v>
      </c>
      <c r="X63" s="52">
        <f t="shared" si="50"/>
        <v>7631</v>
      </c>
      <c r="Y63" s="52">
        <f t="shared" si="50"/>
        <v>7631</v>
      </c>
      <c r="Z63" s="52">
        <f t="shared" si="50"/>
        <v>7631</v>
      </c>
      <c r="AA63" s="52">
        <f t="shared" si="50"/>
        <v>7631</v>
      </c>
      <c r="AB63" s="52">
        <f t="shared" si="50"/>
        <v>7631</v>
      </c>
      <c r="AC63" s="65">
        <f>IF(Overview!G9="Yes", J110-SUM(J63:AB63), AB63)</f>
        <v>38155</v>
      </c>
      <c r="AD63" s="56">
        <f>SUM(J63:AC63)</f>
        <v>152620</v>
      </c>
      <c r="AE63" s="21"/>
      <c r="AF63" s="169" t="s">
        <v>151</v>
      </c>
      <c r="AG63" s="170" t="s">
        <v>152</v>
      </c>
      <c r="AH63" s="170" t="s">
        <v>153</v>
      </c>
      <c r="AI63" s="170" t="s">
        <v>155</v>
      </c>
      <c r="AJ63" s="22"/>
    </row>
    <row r="64" spans="2:36" ht="10.5">
      <c r="B64" s="20"/>
      <c r="C64" s="24"/>
      <c r="D64" s="62" t="s">
        <v>144</v>
      </c>
      <c r="E64" s="24"/>
      <c r="F64" s="24"/>
      <c r="G64" s="93"/>
      <c r="H64" s="64"/>
      <c r="I64" s="95"/>
      <c r="J64" s="52">
        <f>IF(J63 &gt; J62, J62, J63)</f>
        <v>0</v>
      </c>
      <c r="K64" s="52">
        <f t="shared" ref="K64:AB64" si="51">IF(K63 &gt; K62, K62, K63)</f>
        <v>0</v>
      </c>
      <c r="L64" s="52">
        <f t="shared" si="51"/>
        <v>0</v>
      </c>
      <c r="M64" s="52">
        <f t="shared" si="51"/>
        <v>0</v>
      </c>
      <c r="N64" s="52">
        <f t="shared" si="51"/>
        <v>0</v>
      </c>
      <c r="O64" s="52">
        <f t="shared" si="51"/>
        <v>0</v>
      </c>
      <c r="P64" s="52">
        <f t="shared" si="51"/>
        <v>0</v>
      </c>
      <c r="Q64" s="52">
        <f t="shared" si="51"/>
        <v>0</v>
      </c>
      <c r="R64" s="52">
        <f t="shared" si="51"/>
        <v>0</v>
      </c>
      <c r="S64" s="52">
        <f t="shared" si="51"/>
        <v>0</v>
      </c>
      <c r="T64" s="52">
        <f t="shared" si="51"/>
        <v>0</v>
      </c>
      <c r="U64" s="52">
        <f t="shared" si="51"/>
        <v>0</v>
      </c>
      <c r="V64" s="52">
        <f t="shared" si="51"/>
        <v>0</v>
      </c>
      <c r="W64" s="52">
        <f t="shared" si="51"/>
        <v>0</v>
      </c>
      <c r="X64" s="52">
        <f t="shared" si="51"/>
        <v>0</v>
      </c>
      <c r="Y64" s="52">
        <f t="shared" si="51"/>
        <v>0</v>
      </c>
      <c r="Z64" s="52">
        <f t="shared" si="51"/>
        <v>0</v>
      </c>
      <c r="AA64" s="52">
        <f t="shared" si="51"/>
        <v>0</v>
      </c>
      <c r="AB64" s="52">
        <f t="shared" si="51"/>
        <v>0</v>
      </c>
      <c r="AC64" s="65">
        <f>AI64</f>
        <v>0</v>
      </c>
      <c r="AD64" s="96">
        <f>SUM(J64:AC64)</f>
        <v>0</v>
      </c>
      <c r="AE64" s="51"/>
      <c r="AF64" s="168">
        <f>SUM(J64:AB64)</f>
        <v>0</v>
      </c>
      <c r="AG64" s="127">
        <f>J110 - AF64</f>
        <v>152620</v>
      </c>
      <c r="AH64" s="127">
        <f>AC62</f>
        <v>0</v>
      </c>
      <c r="AI64" s="71">
        <f>IF(AH64&lt;AG64,AH64,AG64)</f>
        <v>0</v>
      </c>
      <c r="AJ64" s="52"/>
    </row>
    <row r="65" spans="1:34" ht="10.5">
      <c r="B65" s="24"/>
      <c r="C65" s="24"/>
      <c r="D65" s="75" t="s">
        <v>63</v>
      </c>
      <c r="E65" s="24"/>
      <c r="F65" s="24"/>
      <c r="G65" s="93"/>
      <c r="H65" s="52">
        <f>J110</f>
        <v>152620</v>
      </c>
      <c r="I65" s="52"/>
      <c r="J65" s="52">
        <f>H65 - J64</f>
        <v>152620</v>
      </c>
      <c r="K65" s="52">
        <f>J65 - K64</f>
        <v>152620</v>
      </c>
      <c r="L65" s="52">
        <f t="shared" ref="L65:AB65" si="52">K65 - L64</f>
        <v>152620</v>
      </c>
      <c r="M65" s="52">
        <f t="shared" si="52"/>
        <v>152620</v>
      </c>
      <c r="N65" s="52">
        <f t="shared" si="52"/>
        <v>152620</v>
      </c>
      <c r="O65" s="52">
        <f t="shared" si="52"/>
        <v>152620</v>
      </c>
      <c r="P65" s="52">
        <f t="shared" si="52"/>
        <v>152620</v>
      </c>
      <c r="Q65" s="52">
        <f t="shared" si="52"/>
        <v>152620</v>
      </c>
      <c r="R65" s="52">
        <f t="shared" si="52"/>
        <v>152620</v>
      </c>
      <c r="S65" s="52">
        <f t="shared" si="52"/>
        <v>152620</v>
      </c>
      <c r="T65" s="52">
        <f t="shared" si="52"/>
        <v>152620</v>
      </c>
      <c r="U65" s="52">
        <f t="shared" si="52"/>
        <v>152620</v>
      </c>
      <c r="V65" s="52">
        <f t="shared" si="52"/>
        <v>152620</v>
      </c>
      <c r="W65" s="52">
        <f t="shared" si="52"/>
        <v>152620</v>
      </c>
      <c r="X65" s="52">
        <f t="shared" si="52"/>
        <v>152620</v>
      </c>
      <c r="Y65" s="52">
        <f t="shared" si="52"/>
        <v>152620</v>
      </c>
      <c r="Z65" s="52">
        <f t="shared" si="52"/>
        <v>152620</v>
      </c>
      <c r="AA65" s="52">
        <f t="shared" si="52"/>
        <v>152620</v>
      </c>
      <c r="AB65" s="52">
        <f t="shared" si="52"/>
        <v>152620</v>
      </c>
      <c r="AC65" s="52">
        <f>AB65 - AC64</f>
        <v>152620</v>
      </c>
      <c r="AD65" s="78"/>
      <c r="AE65" s="21"/>
      <c r="AF65" s="22"/>
      <c r="AG65" s="22"/>
    </row>
    <row r="66" spans="1:34" ht="10.5">
      <c r="B66" s="24"/>
      <c r="C66" s="24"/>
      <c r="D66" s="75" t="s">
        <v>149</v>
      </c>
      <c r="E66" s="24"/>
      <c r="F66" s="24"/>
      <c r="G66" s="93"/>
      <c r="H66" s="52"/>
      <c r="I66" s="52"/>
      <c r="J66" s="51">
        <f>J62 - J64</f>
        <v>0</v>
      </c>
      <c r="K66" s="51">
        <f t="shared" ref="K66:AC66" si="53">K62 - K64</f>
        <v>0</v>
      </c>
      <c r="L66" s="51">
        <f t="shared" si="53"/>
        <v>0</v>
      </c>
      <c r="M66" s="51">
        <f t="shared" si="53"/>
        <v>0</v>
      </c>
      <c r="N66" s="51">
        <f t="shared" si="53"/>
        <v>0</v>
      </c>
      <c r="O66" s="51">
        <f t="shared" si="53"/>
        <v>0</v>
      </c>
      <c r="P66" s="51">
        <f t="shared" si="53"/>
        <v>0</v>
      </c>
      <c r="Q66" s="51">
        <f t="shared" si="53"/>
        <v>0</v>
      </c>
      <c r="R66" s="51">
        <f t="shared" si="53"/>
        <v>0</v>
      </c>
      <c r="S66" s="51">
        <f t="shared" si="53"/>
        <v>0</v>
      </c>
      <c r="T66" s="51">
        <f t="shared" si="53"/>
        <v>0</v>
      </c>
      <c r="U66" s="51">
        <f t="shared" si="53"/>
        <v>0</v>
      </c>
      <c r="V66" s="51">
        <f t="shared" si="53"/>
        <v>0</v>
      </c>
      <c r="W66" s="51">
        <f t="shared" si="53"/>
        <v>0</v>
      </c>
      <c r="X66" s="51">
        <f t="shared" si="53"/>
        <v>0</v>
      </c>
      <c r="Y66" s="51">
        <f t="shared" si="53"/>
        <v>0</v>
      </c>
      <c r="Z66" s="51">
        <f t="shared" si="53"/>
        <v>0</v>
      </c>
      <c r="AA66" s="51">
        <f t="shared" si="53"/>
        <v>0</v>
      </c>
      <c r="AB66" s="51">
        <f t="shared" si="53"/>
        <v>0</v>
      </c>
      <c r="AC66" s="51">
        <f t="shared" si="53"/>
        <v>0</v>
      </c>
      <c r="AD66" s="78"/>
      <c r="AE66" s="21"/>
      <c r="AF66" s="22"/>
      <c r="AG66" s="22"/>
    </row>
    <row r="67" spans="1:34" ht="10.5">
      <c r="B67" s="24"/>
      <c r="C67" s="24"/>
      <c r="D67" s="24"/>
      <c r="E67" s="24"/>
      <c r="F67" s="24"/>
      <c r="G67" s="97"/>
      <c r="H67" s="88"/>
      <c r="I67" s="88"/>
      <c r="J67" s="90"/>
      <c r="K67" s="90"/>
      <c r="L67" s="90"/>
      <c r="M67" s="90"/>
      <c r="N67" s="90"/>
      <c r="O67" s="90"/>
      <c r="P67" s="90"/>
      <c r="Q67" s="90"/>
      <c r="R67" s="90"/>
      <c r="S67" s="90"/>
      <c r="T67" s="90"/>
      <c r="U67" s="90"/>
      <c r="V67" s="90"/>
      <c r="W67" s="90"/>
      <c r="X67" s="90"/>
      <c r="Y67" s="90"/>
      <c r="Z67" s="90"/>
      <c r="AA67" s="90"/>
      <c r="AB67" s="90"/>
      <c r="AC67" s="90"/>
      <c r="AD67" s="56"/>
      <c r="AE67" s="21"/>
      <c r="AF67" s="22"/>
      <c r="AG67" s="22"/>
    </row>
    <row r="68" spans="1:34" ht="10.5">
      <c r="A68" s="13" t="s">
        <v>64</v>
      </c>
      <c r="B68" s="17" t="s">
        <v>224</v>
      </c>
      <c r="C68" s="24"/>
      <c r="D68" s="24"/>
      <c r="E68" s="24"/>
      <c r="F68" s="24"/>
      <c r="G68" s="98"/>
      <c r="H68" s="52"/>
      <c r="I68" s="52"/>
      <c r="J68" s="51"/>
      <c r="K68" s="51"/>
      <c r="L68" s="51"/>
      <c r="M68" s="51"/>
      <c r="N68" s="51"/>
      <c r="O68" s="51"/>
      <c r="P68" s="51"/>
      <c r="Q68" s="51"/>
      <c r="R68" s="51"/>
      <c r="S68" s="51"/>
      <c r="T68" s="51"/>
      <c r="U68" s="51"/>
      <c r="V68" s="51"/>
      <c r="W68" s="51"/>
      <c r="X68" s="51"/>
      <c r="Y68" s="51"/>
      <c r="Z68" s="51"/>
      <c r="AA68" s="51"/>
      <c r="AB68" s="51"/>
      <c r="AC68" s="51"/>
      <c r="AD68" s="56"/>
      <c r="AE68" s="21"/>
      <c r="AF68" s="22"/>
      <c r="AG68" s="22"/>
    </row>
    <row r="69" spans="1:34" s="99" customFormat="1" ht="10.5">
      <c r="B69" s="100"/>
      <c r="C69" s="100" t="s">
        <v>225</v>
      </c>
      <c r="D69" s="100"/>
      <c r="E69" s="100"/>
      <c r="F69" s="100"/>
      <c r="G69" s="100"/>
      <c r="H69" s="52"/>
      <c r="I69" s="52"/>
      <c r="J69" s="55"/>
      <c r="K69" s="55"/>
      <c r="L69" s="55"/>
      <c r="M69" s="55"/>
      <c r="N69" s="55"/>
      <c r="O69" s="55"/>
      <c r="P69" s="55"/>
      <c r="Q69" s="55"/>
      <c r="R69" s="55"/>
      <c r="S69" s="55"/>
      <c r="T69" s="55"/>
      <c r="U69" s="55"/>
      <c r="V69" s="55"/>
      <c r="W69" s="55"/>
      <c r="X69" s="55"/>
      <c r="Y69" s="55"/>
      <c r="Z69" s="55"/>
      <c r="AA69" s="55"/>
      <c r="AB69" s="55"/>
      <c r="AC69" s="55"/>
      <c r="AD69" s="20"/>
      <c r="AE69" s="21"/>
      <c r="AF69" s="22"/>
      <c r="AG69" s="22"/>
    </row>
    <row r="70" spans="1:34" ht="10.5">
      <c r="E70" s="73" t="s">
        <v>226</v>
      </c>
      <c r="H70" s="271">
        <f>H134</f>
        <v>4</v>
      </c>
      <c r="I70" s="270" t="s">
        <v>65</v>
      </c>
      <c r="J70" s="101">
        <f>H70 / 100</f>
        <v>0.04</v>
      </c>
      <c r="K70" s="102">
        <f t="shared" ref="K70:AC70" si="54">J70 *(1 +J$39)</f>
        <v>4.1799999999999997E-2</v>
      </c>
      <c r="L70" s="102">
        <f t="shared" si="54"/>
        <v>4.3680999999999991E-2</v>
      </c>
      <c r="M70" s="102">
        <f t="shared" si="54"/>
        <v>4.5646644999999986E-2</v>
      </c>
      <c r="N70" s="102">
        <f t="shared" si="54"/>
        <v>4.7700744024999985E-2</v>
      </c>
      <c r="O70" s="102">
        <f t="shared" si="54"/>
        <v>4.9847277506124978E-2</v>
      </c>
      <c r="P70" s="102">
        <f t="shared" si="54"/>
        <v>5.2090404993900601E-2</v>
      </c>
      <c r="Q70" s="102">
        <f t="shared" si="54"/>
        <v>5.4434473218626121E-2</v>
      </c>
      <c r="R70" s="102">
        <f t="shared" si="54"/>
        <v>5.688402451346429E-2</v>
      </c>
      <c r="S70" s="102">
        <f t="shared" si="54"/>
        <v>5.9443805616570179E-2</v>
      </c>
      <c r="T70" s="102">
        <f t="shared" si="54"/>
        <v>6.2118776869315835E-2</v>
      </c>
      <c r="U70" s="102">
        <f t="shared" si="54"/>
        <v>6.4914121828435048E-2</v>
      </c>
      <c r="V70" s="102">
        <f t="shared" si="54"/>
        <v>6.7835257310714617E-2</v>
      </c>
      <c r="W70" s="102">
        <f t="shared" si="54"/>
        <v>7.0887843889696767E-2</v>
      </c>
      <c r="X70" s="102">
        <f t="shared" si="54"/>
        <v>7.407779686473312E-2</v>
      </c>
      <c r="Y70" s="102">
        <f t="shared" si="54"/>
        <v>7.7411297723646105E-2</v>
      </c>
      <c r="Z70" s="102">
        <f t="shared" si="54"/>
        <v>8.089480612121018E-2</v>
      </c>
      <c r="AA70" s="102">
        <f t="shared" si="54"/>
        <v>8.4535072396664634E-2</v>
      </c>
      <c r="AB70" s="102">
        <f t="shared" si="54"/>
        <v>8.8339150654514531E-2</v>
      </c>
      <c r="AC70" s="102">
        <f t="shared" si="54"/>
        <v>9.231441243396768E-2</v>
      </c>
      <c r="AD70" s="78"/>
      <c r="AE70" s="103"/>
      <c r="AF70" s="103"/>
      <c r="AG70" s="103"/>
    </row>
    <row r="71" spans="1:34" ht="10.5">
      <c r="D71" s="99"/>
      <c r="E71" s="73" t="s">
        <v>236</v>
      </c>
      <c r="H71" s="77"/>
      <c r="I71" s="52"/>
      <c r="J71" s="52">
        <f t="shared" ref="J71:AC71" si="55">$H128 * J70</f>
        <v>5879.9999331999998</v>
      </c>
      <c r="K71" s="52">
        <f t="shared" si="55"/>
        <v>6144.5999301940001</v>
      </c>
      <c r="L71" s="52">
        <f t="shared" si="55"/>
        <v>6421.1069270527287</v>
      </c>
      <c r="M71" s="52">
        <f t="shared" si="55"/>
        <v>6710.0567387701012</v>
      </c>
      <c r="N71" s="52">
        <f t="shared" si="55"/>
        <v>7012.0092920147554</v>
      </c>
      <c r="O71" s="52">
        <f t="shared" si="55"/>
        <v>7327.5497101554183</v>
      </c>
      <c r="P71" s="52">
        <f t="shared" si="55"/>
        <v>7657.2894471124118</v>
      </c>
      <c r="Q71" s="52">
        <f t="shared" si="55"/>
        <v>8001.8674722324695</v>
      </c>
      <c r="R71" s="52">
        <f t="shared" si="55"/>
        <v>8361.9515084829291</v>
      </c>
      <c r="S71" s="52">
        <f t="shared" si="55"/>
        <v>8738.2393263646609</v>
      </c>
      <c r="T71" s="52">
        <f t="shared" si="55"/>
        <v>9131.4600960510706</v>
      </c>
      <c r="U71" s="52">
        <f t="shared" si="55"/>
        <v>9542.3758003733692</v>
      </c>
      <c r="V71" s="52">
        <f t="shared" si="55"/>
        <v>9971.7827113901694</v>
      </c>
      <c r="W71" s="52">
        <f t="shared" si="55"/>
        <v>10420.512933402726</v>
      </c>
      <c r="X71" s="52">
        <f t="shared" si="55"/>
        <v>10889.436015405849</v>
      </c>
      <c r="Y71" s="52">
        <f t="shared" si="55"/>
        <v>11379.460636099111</v>
      </c>
      <c r="Z71" s="52">
        <f t="shared" si="55"/>
        <v>11891.53636472357</v>
      </c>
      <c r="AA71" s="52">
        <f t="shared" si="55"/>
        <v>12426.655501136131</v>
      </c>
      <c r="AB71" s="52">
        <f t="shared" si="55"/>
        <v>12985.854998687255</v>
      </c>
      <c r="AC71" s="52">
        <f t="shared" si="55"/>
        <v>13570.21847362818</v>
      </c>
      <c r="AD71" s="104">
        <f>SUM(J71:AC71)</f>
        <v>184463.96381647693</v>
      </c>
      <c r="AE71" s="103"/>
      <c r="AF71" s="22"/>
      <c r="AG71" s="22"/>
    </row>
    <row r="72" spans="1:34" ht="10.5">
      <c r="A72" s="70"/>
      <c r="B72" s="70"/>
      <c r="C72" s="70"/>
      <c r="D72" s="14" t="s">
        <v>228</v>
      </c>
      <c r="E72" s="70"/>
      <c r="F72" s="70"/>
      <c r="G72" s="107"/>
      <c r="H72" s="77"/>
      <c r="I72" s="52"/>
      <c r="J72" s="105">
        <f>J10</f>
        <v>5879.9999331999998</v>
      </c>
      <c r="K72" s="105">
        <f t="shared" ref="K72:AC72" si="56">K10</f>
        <v>6144.5999301940001</v>
      </c>
      <c r="L72" s="105">
        <f t="shared" si="56"/>
        <v>6421.1069270527287</v>
      </c>
      <c r="M72" s="105">
        <f t="shared" si="56"/>
        <v>6710.0567387701012</v>
      </c>
      <c r="N72" s="105">
        <f t="shared" si="56"/>
        <v>7012.0092920147554</v>
      </c>
      <c r="O72" s="105">
        <f t="shared" si="56"/>
        <v>7327.5497101554183</v>
      </c>
      <c r="P72" s="105">
        <f t="shared" si="56"/>
        <v>7657.2894471124118</v>
      </c>
      <c r="Q72" s="105">
        <f t="shared" si="56"/>
        <v>8001.8674722324695</v>
      </c>
      <c r="R72" s="105">
        <f t="shared" si="56"/>
        <v>8361.9515084829291</v>
      </c>
      <c r="S72" s="105">
        <f t="shared" si="56"/>
        <v>8738.2393263646609</v>
      </c>
      <c r="T72" s="105">
        <f t="shared" si="56"/>
        <v>9131.4600960510706</v>
      </c>
      <c r="U72" s="105">
        <f t="shared" si="56"/>
        <v>9542.3758003733692</v>
      </c>
      <c r="V72" s="105">
        <f t="shared" si="56"/>
        <v>9971.7827113901694</v>
      </c>
      <c r="W72" s="105">
        <f t="shared" si="56"/>
        <v>10420.512933402726</v>
      </c>
      <c r="X72" s="105">
        <f t="shared" si="56"/>
        <v>10889.436015405849</v>
      </c>
      <c r="Y72" s="105">
        <f t="shared" si="56"/>
        <v>11379.460636099111</v>
      </c>
      <c r="Z72" s="105">
        <f t="shared" si="56"/>
        <v>11891.53636472357</v>
      </c>
      <c r="AA72" s="105">
        <f t="shared" si="56"/>
        <v>12426.655501136131</v>
      </c>
      <c r="AB72" s="105">
        <f t="shared" si="56"/>
        <v>12985.854998687255</v>
      </c>
      <c r="AC72" s="105">
        <f t="shared" si="56"/>
        <v>13570.21847362818</v>
      </c>
      <c r="AD72" s="104">
        <f>SUM(J72:AC72)</f>
        <v>184463.96381647693</v>
      </c>
      <c r="AE72" s="103"/>
      <c r="AF72" s="22"/>
      <c r="AG72" s="22"/>
    </row>
    <row r="73" spans="1:34" s="70" customFormat="1" ht="10.5">
      <c r="C73" s="16" t="s">
        <v>66</v>
      </c>
      <c r="H73" s="52"/>
      <c r="I73" s="52"/>
      <c r="J73" s="57">
        <f>J71 - J72</f>
        <v>0</v>
      </c>
      <c r="K73" s="57">
        <f t="shared" ref="K73:AC73" si="57">K71 - K72</f>
        <v>0</v>
      </c>
      <c r="L73" s="57">
        <f t="shared" si="57"/>
        <v>0</v>
      </c>
      <c r="M73" s="57">
        <f t="shared" si="57"/>
        <v>0</v>
      </c>
      <c r="N73" s="57">
        <f t="shared" si="57"/>
        <v>0</v>
      </c>
      <c r="O73" s="57">
        <f t="shared" si="57"/>
        <v>0</v>
      </c>
      <c r="P73" s="57">
        <f t="shared" si="57"/>
        <v>0</v>
      </c>
      <c r="Q73" s="57">
        <f t="shared" si="57"/>
        <v>0</v>
      </c>
      <c r="R73" s="57">
        <f t="shared" si="57"/>
        <v>0</v>
      </c>
      <c r="S73" s="57">
        <f t="shared" si="57"/>
        <v>0</v>
      </c>
      <c r="T73" s="57">
        <f t="shared" si="57"/>
        <v>0</v>
      </c>
      <c r="U73" s="57">
        <f t="shared" si="57"/>
        <v>0</v>
      </c>
      <c r="V73" s="57">
        <f t="shared" si="57"/>
        <v>0</v>
      </c>
      <c r="W73" s="57">
        <f t="shared" si="57"/>
        <v>0</v>
      </c>
      <c r="X73" s="57">
        <f t="shared" si="57"/>
        <v>0</v>
      </c>
      <c r="Y73" s="57">
        <f t="shared" si="57"/>
        <v>0</v>
      </c>
      <c r="Z73" s="57">
        <f t="shared" si="57"/>
        <v>0</v>
      </c>
      <c r="AA73" s="57">
        <f t="shared" si="57"/>
        <v>0</v>
      </c>
      <c r="AB73" s="57">
        <f t="shared" si="57"/>
        <v>0</v>
      </c>
      <c r="AC73" s="57">
        <f t="shared" si="57"/>
        <v>0</v>
      </c>
      <c r="AD73" s="104">
        <f>SUM(J73:AC73)</f>
        <v>0</v>
      </c>
      <c r="AE73" s="103"/>
      <c r="AF73" s="108"/>
      <c r="AG73" s="108"/>
    </row>
    <row r="74" spans="1:34" s="70" customFormat="1" ht="20">
      <c r="C74" s="70" t="s">
        <v>67</v>
      </c>
      <c r="H74" s="109">
        <f>AVERAGE($J$38:$AC$38)</f>
        <v>3.0000000000000016E-2</v>
      </c>
      <c r="I74" s="203" t="s">
        <v>68</v>
      </c>
      <c r="J74" s="52">
        <f>NPV(I89,J73:AC73)</f>
        <v>0</v>
      </c>
      <c r="K74" s="57"/>
      <c r="L74" s="57"/>
      <c r="M74" s="57"/>
      <c r="N74" s="57"/>
      <c r="O74" s="57"/>
      <c r="P74" s="57"/>
      <c r="Q74" s="57"/>
      <c r="R74" s="57"/>
      <c r="S74" s="57"/>
      <c r="T74" s="57"/>
      <c r="U74" s="57"/>
      <c r="V74" s="57"/>
      <c r="W74" s="57"/>
      <c r="X74" s="57"/>
      <c r="Y74" s="57"/>
      <c r="Z74" s="57"/>
      <c r="AA74" s="57"/>
      <c r="AB74" s="57"/>
      <c r="AC74" s="57"/>
      <c r="AD74" s="104"/>
      <c r="AE74" s="108"/>
      <c r="AF74" s="108"/>
      <c r="AG74" s="108"/>
    </row>
    <row r="75" spans="1:34" s="70" customFormat="1" ht="32.5" customHeight="1">
      <c r="B75" s="70" t="s">
        <v>69</v>
      </c>
      <c r="C75" s="316" t="s">
        <v>70</v>
      </c>
      <c r="D75" s="316"/>
      <c r="E75" s="316"/>
      <c r="F75" s="316"/>
      <c r="G75" s="316"/>
      <c r="H75" s="316"/>
      <c r="I75" s="316"/>
      <c r="J75" s="316"/>
      <c r="K75" s="316"/>
      <c r="L75" s="316"/>
      <c r="M75" s="316"/>
      <c r="N75" s="316"/>
      <c r="O75" s="57"/>
      <c r="P75" s="57"/>
      <c r="Q75" s="57"/>
      <c r="R75" s="57"/>
      <c r="S75" s="57"/>
      <c r="T75" s="57"/>
      <c r="U75" s="57"/>
      <c r="V75" s="57"/>
      <c r="W75" s="57"/>
      <c r="X75" s="57"/>
      <c r="Y75" s="57"/>
      <c r="Z75" s="57"/>
      <c r="AA75" s="57"/>
      <c r="AB75" s="57"/>
      <c r="AC75" s="57"/>
      <c r="AD75" s="104"/>
      <c r="AE75" s="108"/>
      <c r="AF75" s="108"/>
      <c r="AG75" s="108"/>
    </row>
    <row r="76" spans="1:34" s="70" customFormat="1" ht="10.5">
      <c r="A76" s="13" t="s">
        <v>71</v>
      </c>
      <c r="B76" s="110" t="s">
        <v>72</v>
      </c>
      <c r="G76" s="106"/>
      <c r="H76" s="52"/>
      <c r="I76" s="52"/>
      <c r="J76" s="52"/>
      <c r="K76" s="57"/>
      <c r="L76" s="57"/>
      <c r="M76" s="57"/>
      <c r="N76" s="57"/>
      <c r="O76" s="57"/>
      <c r="P76" s="57"/>
      <c r="Q76" s="57"/>
      <c r="R76" s="57"/>
      <c r="S76" s="57"/>
      <c r="T76" s="57"/>
      <c r="U76" s="57"/>
      <c r="V76" s="57"/>
      <c r="W76" s="57"/>
      <c r="X76" s="57"/>
      <c r="Y76" s="57"/>
      <c r="Z76" s="57"/>
      <c r="AA76" s="57"/>
      <c r="AB76" s="57"/>
      <c r="AC76" s="57"/>
      <c r="AD76" s="57"/>
      <c r="AE76" s="104"/>
      <c r="AF76" s="108"/>
      <c r="AG76" s="108"/>
      <c r="AH76" s="108"/>
    </row>
    <row r="77" spans="1:34" s="70" customFormat="1" ht="10.5">
      <c r="B77" s="70">
        <v>1</v>
      </c>
      <c r="C77" s="70" t="s">
        <v>73</v>
      </c>
      <c r="G77" s="70" t="s">
        <v>74</v>
      </c>
      <c r="H77" s="52"/>
      <c r="I77" s="52"/>
      <c r="J77" s="57"/>
      <c r="K77" s="57"/>
      <c r="M77" s="57"/>
      <c r="N77" s="57"/>
      <c r="O77" s="57"/>
      <c r="P77" s="57"/>
      <c r="Q77" s="57"/>
      <c r="R77" s="57"/>
      <c r="S77" s="57"/>
      <c r="T77" s="57"/>
      <c r="U77" s="57"/>
      <c r="V77" s="57"/>
      <c r="W77" s="57"/>
      <c r="X77" s="57"/>
      <c r="Y77" s="57"/>
      <c r="Z77" s="57"/>
      <c r="AA77" s="57"/>
      <c r="AB77" s="57"/>
      <c r="AC77" s="57"/>
      <c r="AD77" s="57"/>
      <c r="AE77" s="104"/>
      <c r="AF77" s="108"/>
      <c r="AG77" s="108"/>
      <c r="AH77" s="108"/>
    </row>
    <row r="78" spans="1:34" s="70" customFormat="1" ht="22.5" customHeight="1">
      <c r="B78" s="70">
        <v>2</v>
      </c>
      <c r="C78" s="316" t="s">
        <v>159</v>
      </c>
      <c r="D78" s="316"/>
      <c r="E78" s="316"/>
      <c r="F78" s="316"/>
      <c r="G78" s="70" t="s">
        <v>160</v>
      </c>
      <c r="H78" s="52"/>
      <c r="J78" s="259">
        <v>2</v>
      </c>
      <c r="K78" s="57"/>
      <c r="M78" s="57"/>
      <c r="N78" s="57"/>
      <c r="O78" s="57"/>
      <c r="P78" s="57"/>
      <c r="Q78" s="57"/>
      <c r="R78" s="57"/>
      <c r="S78" s="57"/>
      <c r="T78" s="57"/>
      <c r="U78" s="57"/>
      <c r="V78" s="57"/>
      <c r="W78" s="57"/>
      <c r="X78" s="57"/>
      <c r="Y78" s="57"/>
      <c r="Z78" s="57"/>
      <c r="AA78" s="57"/>
      <c r="AB78" s="57"/>
      <c r="AC78" s="57"/>
      <c r="AD78" s="57"/>
      <c r="AE78" s="104"/>
      <c r="AF78" s="108"/>
      <c r="AG78" s="108"/>
      <c r="AH78" s="108"/>
    </row>
    <row r="79" spans="1:34" s="70" customFormat="1" ht="10.5">
      <c r="B79" s="70">
        <v>3</v>
      </c>
      <c r="C79" s="70" t="s">
        <v>164</v>
      </c>
      <c r="G79" s="70" t="s">
        <v>165</v>
      </c>
      <c r="H79" s="52"/>
      <c r="I79" s="57"/>
      <c r="J79" s="57"/>
      <c r="K79" s="57"/>
      <c r="M79" s="57"/>
      <c r="N79" s="57"/>
      <c r="O79" s="57"/>
      <c r="P79" s="57"/>
      <c r="Q79" s="57"/>
      <c r="R79" s="57"/>
      <c r="S79" s="57"/>
      <c r="T79" s="57"/>
      <c r="U79" s="57"/>
      <c r="V79" s="57"/>
      <c r="W79" s="57"/>
      <c r="X79" s="57"/>
      <c r="Y79" s="57"/>
      <c r="Z79" s="57"/>
      <c r="AA79" s="57"/>
      <c r="AB79" s="57"/>
      <c r="AC79" s="57"/>
      <c r="AD79" s="57"/>
      <c r="AE79" s="104"/>
      <c r="AF79" s="108"/>
      <c r="AG79" s="108"/>
      <c r="AH79" s="108"/>
    </row>
    <row r="80" spans="1:34" s="70" customFormat="1" ht="23.5" customHeight="1">
      <c r="B80" s="70">
        <v>4</v>
      </c>
      <c r="C80" s="313" t="s">
        <v>234</v>
      </c>
      <c r="D80" s="313"/>
      <c r="E80" s="313"/>
      <c r="F80" s="313"/>
      <c r="G80" s="111" t="s">
        <v>75</v>
      </c>
      <c r="I80" s="57"/>
      <c r="P80" s="57"/>
      <c r="Q80" s="57"/>
      <c r="R80" s="57"/>
      <c r="S80" s="57"/>
      <c r="T80" s="57"/>
      <c r="U80" s="57"/>
      <c r="V80" s="57"/>
      <c r="W80" s="57"/>
      <c r="X80" s="57"/>
      <c r="Y80" s="57"/>
      <c r="Z80" s="57"/>
      <c r="AA80" s="57"/>
      <c r="AB80" s="57"/>
      <c r="AC80" s="57"/>
      <c r="AD80" s="57"/>
      <c r="AE80" s="104"/>
      <c r="AF80" s="108"/>
      <c r="AG80" s="108"/>
      <c r="AH80" s="108"/>
    </row>
    <row r="81" spans="1:34" s="70" customFormat="1" ht="14" customHeight="1">
      <c r="B81" s="70">
        <v>5</v>
      </c>
      <c r="C81" s="313" t="s">
        <v>76</v>
      </c>
      <c r="D81" s="313"/>
      <c r="E81" s="313"/>
      <c r="F81" s="313"/>
      <c r="G81" s="108" t="s">
        <v>77</v>
      </c>
      <c r="I81" s="57"/>
      <c r="P81" s="57"/>
      <c r="Q81" s="57"/>
      <c r="R81" s="57"/>
      <c r="S81" s="57"/>
      <c r="T81" s="57"/>
      <c r="U81" s="57"/>
      <c r="V81" s="57"/>
      <c r="W81" s="57"/>
      <c r="X81" s="57"/>
      <c r="Y81" s="57"/>
      <c r="Z81" s="57"/>
      <c r="AA81" s="57"/>
      <c r="AB81" s="57"/>
      <c r="AC81" s="57"/>
      <c r="AD81" s="57"/>
      <c r="AE81" s="104"/>
      <c r="AF81" s="108"/>
      <c r="AG81" s="108"/>
      <c r="AH81" s="108"/>
    </row>
    <row r="82" spans="1:34" s="70" customFormat="1" ht="10.5">
      <c r="B82" s="70">
        <v>6</v>
      </c>
      <c r="C82" s="70" t="s">
        <v>78</v>
      </c>
      <c r="G82" s="70" t="s">
        <v>79</v>
      </c>
      <c r="H82" s="52"/>
      <c r="I82" s="52"/>
      <c r="K82" s="57"/>
      <c r="M82" s="57"/>
      <c r="N82" s="57"/>
      <c r="O82" s="57"/>
      <c r="P82" s="57"/>
      <c r="Q82" s="57"/>
      <c r="R82" s="57"/>
      <c r="S82" s="57"/>
      <c r="T82" s="57"/>
      <c r="U82" s="57"/>
      <c r="V82" s="57"/>
      <c r="W82" s="57"/>
      <c r="X82" s="57"/>
      <c r="Y82" s="57"/>
      <c r="Z82" s="57"/>
      <c r="AA82" s="57"/>
      <c r="AB82" s="57"/>
      <c r="AC82" s="57"/>
      <c r="AD82" s="57"/>
      <c r="AE82" s="104"/>
      <c r="AF82" s="108"/>
      <c r="AG82" s="108"/>
      <c r="AH82" s="108"/>
    </row>
    <row r="83" spans="1:34" s="70" customFormat="1" ht="10.5">
      <c r="B83" s="70">
        <v>7</v>
      </c>
      <c r="C83" s="70" t="s">
        <v>80</v>
      </c>
      <c r="G83" s="70" t="s">
        <v>235</v>
      </c>
      <c r="H83" s="52"/>
      <c r="I83" s="52"/>
      <c r="J83" s="57"/>
      <c r="K83" s="57"/>
      <c r="M83" s="57"/>
      <c r="N83" s="57"/>
      <c r="O83" s="57"/>
      <c r="P83" s="57"/>
      <c r="Q83" s="57"/>
      <c r="R83" s="57"/>
      <c r="S83" s="57"/>
      <c r="T83" s="57"/>
      <c r="U83" s="57"/>
      <c r="V83" s="57"/>
      <c r="W83" s="57"/>
      <c r="X83" s="57"/>
      <c r="Y83" s="57"/>
      <c r="Z83" s="57"/>
      <c r="AA83" s="57"/>
      <c r="AB83" s="57"/>
      <c r="AC83" s="57"/>
      <c r="AD83" s="57"/>
      <c r="AE83" s="104"/>
      <c r="AF83" s="108"/>
      <c r="AG83" s="108"/>
      <c r="AH83" s="108"/>
    </row>
    <row r="84" spans="1:34" s="70" customFormat="1" ht="10.5">
      <c r="B84" s="70">
        <v>10</v>
      </c>
      <c r="C84" s="70" t="s">
        <v>81</v>
      </c>
      <c r="G84" s="70" t="s">
        <v>251</v>
      </c>
      <c r="H84" s="52"/>
      <c r="I84" s="52"/>
      <c r="R84" s="57"/>
      <c r="S84" s="57"/>
      <c r="T84" s="57"/>
      <c r="U84" s="57"/>
      <c r="V84" s="57"/>
      <c r="W84" s="57"/>
      <c r="X84" s="57"/>
      <c r="Y84" s="57"/>
      <c r="Z84" s="57"/>
      <c r="AA84" s="57"/>
      <c r="AB84" s="57"/>
      <c r="AC84" s="57"/>
      <c r="AD84" s="57"/>
      <c r="AE84" s="104"/>
      <c r="AF84" s="108"/>
      <c r="AG84" s="108"/>
      <c r="AH84" s="108"/>
    </row>
    <row r="85" spans="1:34" s="70" customFormat="1" ht="10.5">
      <c r="B85" s="70">
        <v>11</v>
      </c>
      <c r="C85" s="70" t="s">
        <v>252</v>
      </c>
      <c r="G85" s="70" t="s">
        <v>82</v>
      </c>
      <c r="H85" s="52"/>
      <c r="I85" s="52"/>
      <c r="R85" s="57"/>
      <c r="S85" s="57"/>
      <c r="T85" s="57"/>
      <c r="U85" s="57"/>
      <c r="V85" s="57"/>
      <c r="W85" s="57"/>
      <c r="X85" s="57"/>
      <c r="Y85" s="57"/>
      <c r="Z85" s="57"/>
      <c r="AA85" s="57"/>
      <c r="AB85" s="57"/>
      <c r="AC85" s="57"/>
      <c r="AD85" s="57"/>
      <c r="AE85" s="104"/>
      <c r="AF85" s="108"/>
      <c r="AG85" s="108"/>
      <c r="AH85" s="108"/>
    </row>
    <row r="86" spans="1:34" s="70" customFormat="1" ht="20" customHeight="1">
      <c r="B86" s="70">
        <v>13</v>
      </c>
      <c r="C86" s="70" t="s">
        <v>137</v>
      </c>
      <c r="G86" s="57" t="s">
        <v>163</v>
      </c>
      <c r="H86" s="52"/>
      <c r="I86" s="52"/>
      <c r="R86" s="57"/>
      <c r="S86" s="57"/>
      <c r="T86" s="57"/>
      <c r="U86" s="57"/>
      <c r="V86" s="57"/>
      <c r="W86" s="57"/>
      <c r="X86" s="57"/>
      <c r="Y86" s="57"/>
      <c r="Z86" s="57"/>
      <c r="AA86" s="57"/>
      <c r="AB86" s="57"/>
      <c r="AC86" s="57"/>
      <c r="AD86" s="57"/>
      <c r="AE86" s="104"/>
      <c r="AF86" s="108"/>
      <c r="AG86" s="108"/>
      <c r="AH86" s="108"/>
    </row>
    <row r="87" spans="1:34" ht="10.5">
      <c r="A87" s="13" t="s">
        <v>83</v>
      </c>
      <c r="B87" s="17" t="s">
        <v>84</v>
      </c>
      <c r="C87" s="114"/>
      <c r="D87" s="113"/>
      <c r="E87" s="113"/>
      <c r="F87" s="57"/>
      <c r="G87" s="57"/>
      <c r="H87" s="57"/>
      <c r="I87" s="57"/>
      <c r="J87" s="57"/>
      <c r="K87" s="57"/>
      <c r="Q87" s="57"/>
      <c r="R87" s="57"/>
      <c r="S87" s="57"/>
      <c r="T87" s="57"/>
      <c r="U87" s="57"/>
      <c r="V87" s="57"/>
      <c r="W87" s="57"/>
      <c r="X87" s="57"/>
      <c r="Y87" s="57"/>
      <c r="Z87" s="57"/>
      <c r="AA87" s="57"/>
      <c r="AB87" s="57"/>
      <c r="AC87" s="57"/>
      <c r="AD87" s="57"/>
      <c r="AE87" s="22"/>
      <c r="AF87" s="22"/>
      <c r="AG87" s="22"/>
    </row>
    <row r="88" spans="1:34" ht="10.5">
      <c r="G88" s="14"/>
      <c r="H88" s="115" t="s">
        <v>85</v>
      </c>
      <c r="I88" s="116" t="s">
        <v>17</v>
      </c>
      <c r="J88" s="116"/>
      <c r="N88" s="21"/>
      <c r="Q88" s="57"/>
      <c r="R88" s="57"/>
      <c r="S88" s="57"/>
      <c r="T88" s="57"/>
      <c r="U88" s="57"/>
      <c r="V88" s="57"/>
      <c r="W88" s="57"/>
      <c r="X88" s="57"/>
      <c r="Y88" s="57"/>
      <c r="Z88" s="57"/>
      <c r="AA88" s="57"/>
      <c r="AB88" s="57"/>
      <c r="AC88" s="57"/>
      <c r="AD88" s="57"/>
      <c r="AE88" s="22"/>
      <c r="AF88" s="22"/>
      <c r="AG88" s="22"/>
    </row>
    <row r="89" spans="1:34" ht="10.5">
      <c r="C89" s="21" t="s">
        <v>86</v>
      </c>
      <c r="G89" s="14"/>
      <c r="I89" s="117">
        <f>AVERAGE(J38:AC38)</f>
        <v>3.0000000000000016E-2</v>
      </c>
      <c r="J89" s="116"/>
      <c r="N89" s="21"/>
      <c r="Q89" s="57"/>
      <c r="R89" s="57"/>
      <c r="S89" s="57"/>
      <c r="T89" s="57"/>
      <c r="U89" s="57"/>
      <c r="V89" s="57"/>
      <c r="W89" s="57"/>
      <c r="X89" s="57"/>
      <c r="Y89" s="57"/>
      <c r="Z89" s="57"/>
      <c r="AA89" s="57"/>
      <c r="AB89" s="57"/>
      <c r="AC89" s="57"/>
      <c r="AD89" s="57"/>
      <c r="AE89" s="22"/>
      <c r="AF89" s="22"/>
      <c r="AG89" s="22"/>
    </row>
    <row r="90" spans="1:34" ht="10.5">
      <c r="C90" s="108" t="s">
        <v>87</v>
      </c>
      <c r="G90" s="14"/>
      <c r="H90" s="200">
        <f>AD73</f>
        <v>0</v>
      </c>
      <c r="I90" s="201">
        <f>J74</f>
        <v>0</v>
      </c>
      <c r="J90" s="119"/>
      <c r="K90" s="24"/>
      <c r="L90" s="24"/>
      <c r="M90" s="24"/>
      <c r="N90" s="24"/>
      <c r="Q90" s="24"/>
      <c r="R90" s="21"/>
      <c r="S90" s="21"/>
      <c r="T90" s="21"/>
      <c r="U90" s="21"/>
      <c r="V90" s="21"/>
      <c r="W90" s="21"/>
      <c r="X90" s="21"/>
      <c r="Y90" s="21"/>
      <c r="Z90" s="21"/>
      <c r="AA90" s="21"/>
      <c r="AB90" s="21"/>
      <c r="AC90" s="21"/>
      <c r="AD90" s="20"/>
      <c r="AE90" s="22"/>
      <c r="AF90" s="22"/>
      <c r="AG90" s="22"/>
    </row>
    <row r="91" spans="1:34" ht="10.5">
      <c r="C91" s="108" t="s">
        <v>88</v>
      </c>
      <c r="G91" s="14"/>
      <c r="H91" s="200">
        <f>AD19</f>
        <v>86993.400000000009</v>
      </c>
      <c r="I91" s="202">
        <f>NPV(I89,J19:AC19)</f>
        <v>63672.763677634954</v>
      </c>
      <c r="J91" s="14"/>
      <c r="K91" s="22"/>
      <c r="L91" s="109"/>
      <c r="M91" s="108"/>
      <c r="N91" s="203"/>
      <c r="Q91" s="22"/>
      <c r="R91" s="22"/>
      <c r="S91" s="22"/>
      <c r="T91" s="22"/>
      <c r="U91" s="22"/>
      <c r="V91" s="22"/>
      <c r="W91" s="22"/>
      <c r="X91" s="22"/>
      <c r="Y91" s="22"/>
      <c r="Z91" s="22"/>
      <c r="AA91" s="22"/>
      <c r="AB91" s="22"/>
      <c r="AC91" s="22"/>
      <c r="AD91" s="13"/>
      <c r="AE91" s="22"/>
      <c r="AF91" s="22"/>
      <c r="AG91" s="22"/>
    </row>
    <row r="92" spans="1:34" ht="10.5">
      <c r="B92" s="14" t="s">
        <v>72</v>
      </c>
      <c r="C92" s="108"/>
      <c r="G92" s="14"/>
      <c r="H92" s="71"/>
      <c r="I92" s="67"/>
      <c r="J92" s="14"/>
      <c r="K92" s="22"/>
      <c r="L92" s="109"/>
      <c r="M92" s="108"/>
      <c r="N92" s="203"/>
      <c r="Q92" s="22"/>
      <c r="R92" s="22"/>
      <c r="S92" s="22"/>
      <c r="T92" s="22"/>
      <c r="U92" s="22"/>
      <c r="V92" s="22"/>
      <c r="W92" s="22"/>
      <c r="X92" s="22"/>
      <c r="Y92" s="22"/>
      <c r="Z92" s="22"/>
      <c r="AA92" s="22"/>
      <c r="AB92" s="22"/>
      <c r="AC92" s="22"/>
      <c r="AD92" s="13"/>
      <c r="AE92" s="22"/>
      <c r="AF92" s="22"/>
      <c r="AG92" s="22"/>
    </row>
    <row r="93" spans="1:34" ht="10.5">
      <c r="B93" s="70"/>
      <c r="C93" s="108">
        <v>1</v>
      </c>
      <c r="D93" s="25" t="s">
        <v>89</v>
      </c>
      <c r="E93" s="70"/>
      <c r="F93" s="70"/>
      <c r="G93" s="70"/>
      <c r="H93" s="173"/>
      <c r="I93" s="67"/>
      <c r="K93" s="108"/>
      <c r="L93" s="109"/>
      <c r="M93" s="108"/>
      <c r="N93" s="203"/>
      <c r="Q93" s="22"/>
      <c r="R93" s="22"/>
      <c r="S93" s="22"/>
      <c r="T93" s="22"/>
      <c r="U93" s="22"/>
      <c r="V93" s="22"/>
      <c r="W93" s="22"/>
      <c r="X93" s="22"/>
      <c r="Y93" s="22"/>
      <c r="Z93" s="22"/>
      <c r="AA93" s="22"/>
      <c r="AB93" s="22"/>
      <c r="AC93" s="22"/>
      <c r="AD93" s="13"/>
      <c r="AE93" s="22"/>
      <c r="AF93" s="22"/>
      <c r="AG93" s="22"/>
    </row>
    <row r="94" spans="1:34" ht="10.5">
      <c r="A94" s="24"/>
      <c r="B94" s="24"/>
      <c r="C94" s="24"/>
      <c r="D94" s="24"/>
      <c r="E94" s="24"/>
      <c r="F94" s="24"/>
      <c r="G94" s="24"/>
      <c r="H94" s="24"/>
      <c r="I94" s="24"/>
      <c r="J94" s="24"/>
      <c r="K94" s="24"/>
      <c r="L94" s="24"/>
      <c r="M94" s="24"/>
      <c r="N94" s="24"/>
      <c r="Q94" s="22"/>
      <c r="R94" s="22"/>
      <c r="S94" s="22"/>
      <c r="T94" s="22"/>
      <c r="U94" s="22"/>
      <c r="V94" s="22"/>
      <c r="W94" s="22"/>
      <c r="X94" s="22"/>
      <c r="Y94" s="22"/>
      <c r="Z94" s="22"/>
      <c r="AA94" s="22"/>
      <c r="AB94" s="22"/>
      <c r="AC94" s="22"/>
      <c r="AD94" s="13"/>
      <c r="AE94" s="22"/>
      <c r="AF94" s="22"/>
      <c r="AG94" s="22"/>
    </row>
    <row r="95" spans="1:34" ht="10.5">
      <c r="A95" s="20" t="s">
        <v>90</v>
      </c>
      <c r="B95" s="17" t="s">
        <v>91</v>
      </c>
      <c r="C95" s="52"/>
      <c r="D95" s="55"/>
      <c r="E95" s="55"/>
      <c r="F95" s="55"/>
      <c r="G95" s="108"/>
      <c r="H95" s="108"/>
      <c r="I95" s="108"/>
      <c r="J95" s="108"/>
      <c r="K95" s="108"/>
      <c r="Q95" s="108"/>
      <c r="R95" s="108"/>
      <c r="S95" s="22"/>
      <c r="T95" s="22"/>
      <c r="U95" s="22"/>
      <c r="V95" s="22"/>
      <c r="W95" s="22"/>
      <c r="X95" s="22"/>
      <c r="Y95" s="22"/>
      <c r="Z95" s="22"/>
      <c r="AA95" s="22"/>
      <c r="AB95" s="22"/>
      <c r="AC95" s="22"/>
      <c r="AD95" s="13"/>
      <c r="AE95" s="22"/>
      <c r="AF95" s="22"/>
      <c r="AG95" s="22"/>
    </row>
    <row r="96" spans="1:34" ht="10.5">
      <c r="A96" s="24"/>
      <c r="B96" s="20">
        <v>1</v>
      </c>
      <c r="C96" s="17" t="s">
        <v>92</v>
      </c>
      <c r="D96" s="52"/>
      <c r="E96" s="55"/>
      <c r="F96" s="55"/>
      <c r="G96" s="108"/>
      <c r="H96" s="118" t="s">
        <v>93</v>
      </c>
      <c r="I96" s="118" t="s">
        <v>94</v>
      </c>
      <c r="J96" s="118" t="s">
        <v>46</v>
      </c>
      <c r="K96" s="108"/>
      <c r="Q96" s="108"/>
      <c r="R96" s="108"/>
      <c r="S96" s="22"/>
      <c r="T96" s="22"/>
      <c r="U96" s="22"/>
      <c r="V96" s="22"/>
      <c r="W96" s="22"/>
      <c r="X96" s="22"/>
      <c r="Y96" s="22"/>
      <c r="Z96" s="22"/>
      <c r="AA96" s="22"/>
      <c r="AB96" s="22"/>
      <c r="AC96" s="22"/>
      <c r="AD96" s="13"/>
      <c r="AE96" s="22"/>
      <c r="AF96" s="22"/>
      <c r="AG96" s="22"/>
    </row>
    <row r="97" spans="1:33" ht="10.5">
      <c r="A97" s="24"/>
      <c r="B97" s="20"/>
      <c r="C97" s="17"/>
      <c r="E97" s="73" t="s">
        <v>230</v>
      </c>
      <c r="F97" s="24"/>
      <c r="G97" s="14"/>
      <c r="H97" s="252">
        <f>'Inputs from tech analysis'!$I$15</f>
        <v>170</v>
      </c>
      <c r="I97" s="108" t="s">
        <v>285</v>
      </c>
      <c r="J97" s="108"/>
      <c r="K97" s="108"/>
      <c r="Q97" s="108"/>
      <c r="R97" s="108"/>
      <c r="S97" s="22"/>
      <c r="T97" s="22"/>
      <c r="U97" s="22"/>
      <c r="V97" s="22"/>
      <c r="W97" s="22"/>
      <c r="X97" s="22"/>
      <c r="Y97" s="22"/>
      <c r="Z97" s="22"/>
      <c r="AA97" s="22"/>
      <c r="AB97" s="22"/>
      <c r="AC97" s="22"/>
      <c r="AD97" s="13"/>
      <c r="AE97" s="22"/>
      <c r="AF97" s="22"/>
      <c r="AG97" s="22"/>
    </row>
    <row r="98" spans="1:33" ht="10.5">
      <c r="A98" s="24"/>
      <c r="B98" s="20"/>
      <c r="C98" s="24"/>
      <c r="E98" s="120" t="s">
        <v>253</v>
      </c>
      <c r="F98" s="24"/>
      <c r="G98" s="14"/>
      <c r="H98" s="108"/>
      <c r="I98" s="108"/>
      <c r="J98" s="121">
        <f>'Inputs from tech analysis'!M15</f>
        <v>146000</v>
      </c>
      <c r="K98" s="108"/>
      <c r="L98" s="108"/>
      <c r="Q98" s="108"/>
      <c r="R98" s="108"/>
      <c r="S98" s="22"/>
      <c r="T98" s="22"/>
      <c r="U98" s="22"/>
      <c r="V98" s="22"/>
      <c r="W98" s="22"/>
      <c r="X98" s="22"/>
      <c r="Y98" s="22"/>
      <c r="Z98" s="22"/>
      <c r="AA98" s="22"/>
      <c r="AB98" s="22"/>
      <c r="AC98" s="22"/>
      <c r="AD98" s="13"/>
      <c r="AE98" s="22"/>
      <c r="AF98" s="22"/>
      <c r="AG98" s="22"/>
    </row>
    <row r="99" spans="1:33" ht="10.5">
      <c r="A99" s="24"/>
      <c r="B99" s="20"/>
      <c r="C99" s="24"/>
      <c r="E99" s="73" t="s">
        <v>95</v>
      </c>
      <c r="F99" s="24"/>
      <c r="G99" s="14"/>
      <c r="I99" s="14"/>
      <c r="J99" s="260">
        <v>0</v>
      </c>
      <c r="K99" s="108" t="s">
        <v>231</v>
      </c>
      <c r="L99" s="22"/>
      <c r="Q99" s="22"/>
      <c r="R99" s="22"/>
      <c r="S99" s="22"/>
      <c r="T99" s="22"/>
      <c r="U99" s="22"/>
      <c r="V99" s="22"/>
      <c r="W99" s="22"/>
      <c r="X99" s="22"/>
      <c r="Y99" s="22"/>
      <c r="Z99" s="22"/>
      <c r="AA99" s="22"/>
      <c r="AB99" s="22"/>
      <c r="AC99" s="22"/>
      <c r="AD99" s="13"/>
      <c r="AE99" s="22"/>
      <c r="AF99" s="22"/>
      <c r="AG99" s="22"/>
    </row>
    <row r="100" spans="1:33" ht="10.5">
      <c r="A100" s="24"/>
      <c r="B100" s="20"/>
      <c r="C100" s="24"/>
      <c r="E100" s="120" t="s">
        <v>213</v>
      </c>
      <c r="F100" s="24"/>
      <c r="G100" s="14"/>
      <c r="I100" s="108"/>
      <c r="J100" s="260">
        <v>0</v>
      </c>
      <c r="L100" s="22"/>
      <c r="Q100" s="22"/>
      <c r="R100" s="22"/>
      <c r="S100" s="22"/>
      <c r="T100" s="22"/>
      <c r="U100" s="22"/>
      <c r="V100" s="22"/>
      <c r="W100" s="22"/>
      <c r="X100" s="22"/>
      <c r="Y100" s="22"/>
      <c r="Z100" s="22"/>
      <c r="AA100" s="22"/>
      <c r="AB100" s="22"/>
      <c r="AC100" s="22"/>
      <c r="AD100" s="13"/>
      <c r="AE100" s="22"/>
      <c r="AF100" s="22"/>
      <c r="AG100" s="22"/>
    </row>
    <row r="101" spans="1:33" ht="10.5">
      <c r="A101" s="24"/>
      <c r="B101" s="20"/>
      <c r="C101" s="24"/>
      <c r="E101" s="120" t="s">
        <v>96</v>
      </c>
      <c r="F101" s="24"/>
      <c r="G101" s="14"/>
      <c r="I101" s="108"/>
      <c r="J101" s="121">
        <f>SUM(J98:J100)</f>
        <v>146000</v>
      </c>
      <c r="L101" s="22"/>
      <c r="Q101" s="22"/>
      <c r="R101" s="22"/>
      <c r="S101" s="22"/>
      <c r="T101" s="22"/>
      <c r="U101" s="22"/>
      <c r="V101" s="22"/>
      <c r="W101" s="22"/>
      <c r="X101" s="22"/>
      <c r="Y101" s="22"/>
      <c r="Z101" s="22"/>
      <c r="AA101" s="22"/>
      <c r="AB101" s="22"/>
      <c r="AC101" s="22"/>
      <c r="AD101" s="13"/>
      <c r="AE101" s="22"/>
      <c r="AF101" s="22"/>
      <c r="AG101" s="22"/>
    </row>
    <row r="102" spans="1:33" ht="10.5">
      <c r="B102" s="13"/>
      <c r="E102" s="158" t="s">
        <v>97</v>
      </c>
      <c r="F102" s="70"/>
      <c r="G102" s="70"/>
      <c r="H102" s="261">
        <v>0.02</v>
      </c>
      <c r="I102" s="108"/>
      <c r="J102" s="121">
        <f>J101 * H102</f>
        <v>2920</v>
      </c>
      <c r="L102" s="22"/>
      <c r="Q102" s="22"/>
      <c r="R102" s="22"/>
      <c r="S102" s="22"/>
      <c r="T102" s="22"/>
      <c r="U102" s="22"/>
      <c r="V102" s="22"/>
      <c r="W102" s="22"/>
      <c r="X102" s="22"/>
      <c r="Y102" s="22"/>
      <c r="Z102" s="22"/>
      <c r="AA102" s="22"/>
      <c r="AB102" s="22"/>
      <c r="AC102" s="22"/>
      <c r="AD102" s="13"/>
      <c r="AE102" s="22"/>
      <c r="AF102" s="22"/>
      <c r="AG102" s="22"/>
    </row>
    <row r="103" spans="1:33" ht="10.5">
      <c r="B103" s="13"/>
      <c r="D103" s="111" t="s">
        <v>98</v>
      </c>
      <c r="G103" s="14"/>
      <c r="I103" s="108"/>
      <c r="J103" s="121">
        <f>J101 + J102</f>
        <v>148920</v>
      </c>
      <c r="K103" s="22"/>
      <c r="L103" s="22"/>
      <c r="Q103" s="22"/>
      <c r="R103" s="22"/>
      <c r="S103" s="22"/>
      <c r="T103" s="22"/>
      <c r="U103" s="22"/>
      <c r="V103" s="22"/>
      <c r="W103" s="22"/>
      <c r="X103" s="22"/>
      <c r="Y103" s="22"/>
      <c r="Z103" s="22"/>
      <c r="AA103" s="22"/>
      <c r="AB103" s="22"/>
      <c r="AC103" s="22"/>
      <c r="AD103" s="13"/>
      <c r="AE103" s="22"/>
      <c r="AF103" s="22"/>
      <c r="AG103" s="22"/>
    </row>
    <row r="104" spans="1:33" ht="10.5">
      <c r="B104" s="13">
        <v>2</v>
      </c>
      <c r="C104" s="17" t="s">
        <v>99</v>
      </c>
      <c r="D104" s="122"/>
      <c r="E104" s="70"/>
      <c r="F104" s="70"/>
      <c r="G104" s="22"/>
      <c r="H104" s="22"/>
      <c r="I104" s="22"/>
      <c r="J104" s="22"/>
      <c r="K104" s="22"/>
      <c r="Q104" s="22"/>
      <c r="R104" s="22"/>
      <c r="S104" s="22"/>
      <c r="T104" s="22"/>
      <c r="U104" s="22"/>
      <c r="V104" s="22"/>
      <c r="W104" s="22"/>
      <c r="X104" s="22"/>
      <c r="Y104" s="22"/>
      <c r="Z104" s="22"/>
      <c r="AA104" s="22"/>
      <c r="AB104" s="22"/>
      <c r="AC104" s="22"/>
      <c r="AD104" s="13"/>
      <c r="AE104" s="22"/>
      <c r="AF104" s="22"/>
      <c r="AG104" s="22"/>
    </row>
    <row r="105" spans="1:33" ht="10.5">
      <c r="B105" s="13"/>
      <c r="E105" s="108" t="s">
        <v>232</v>
      </c>
      <c r="F105" s="108"/>
      <c r="G105" s="22"/>
      <c r="I105" s="22"/>
      <c r="J105" s="262">
        <v>0</v>
      </c>
      <c r="K105" s="22"/>
      <c r="Q105" s="22"/>
      <c r="R105" s="22"/>
      <c r="S105" s="22"/>
      <c r="T105" s="22"/>
      <c r="U105" s="22"/>
      <c r="V105" s="22"/>
      <c r="W105" s="22"/>
      <c r="X105" s="22"/>
      <c r="Y105" s="22"/>
      <c r="Z105" s="22"/>
      <c r="AA105" s="22"/>
      <c r="AB105" s="22"/>
      <c r="AC105" s="22"/>
      <c r="AD105" s="13"/>
      <c r="AE105" s="22"/>
      <c r="AF105" s="22"/>
      <c r="AG105" s="22"/>
    </row>
    <row r="106" spans="1:33" ht="10.5">
      <c r="B106" s="13"/>
      <c r="E106" s="123" t="s">
        <v>100</v>
      </c>
      <c r="F106" s="108"/>
      <c r="G106" s="22"/>
      <c r="I106" s="22"/>
      <c r="J106" s="262">
        <v>2200</v>
      </c>
      <c r="K106" s="22"/>
      <c r="Q106" s="22"/>
      <c r="R106" s="22"/>
      <c r="S106" s="22"/>
      <c r="T106" s="22"/>
      <c r="U106" s="22"/>
      <c r="V106" s="22"/>
      <c r="W106" s="22"/>
      <c r="X106" s="22"/>
      <c r="Y106" s="22"/>
      <c r="Z106" s="22"/>
      <c r="AA106" s="22"/>
      <c r="AB106" s="22"/>
      <c r="AC106" s="22"/>
      <c r="AD106" s="13"/>
      <c r="AE106" s="22"/>
      <c r="AF106" s="22"/>
      <c r="AG106" s="22"/>
    </row>
    <row r="107" spans="1:33" ht="10.5">
      <c r="B107" s="13"/>
      <c r="E107" s="73" t="s">
        <v>233</v>
      </c>
      <c r="F107" s="108"/>
      <c r="G107" s="22"/>
      <c r="I107" s="22"/>
      <c r="J107" s="262">
        <v>1500</v>
      </c>
      <c r="K107" s="22"/>
      <c r="Q107" s="22"/>
      <c r="R107" s="22"/>
      <c r="S107" s="22"/>
      <c r="T107" s="22"/>
      <c r="U107" s="22"/>
      <c r="V107" s="22"/>
      <c r="W107" s="22"/>
      <c r="X107" s="22"/>
      <c r="Y107" s="22"/>
      <c r="Z107" s="22"/>
      <c r="AA107" s="22"/>
      <c r="AB107" s="22"/>
      <c r="AC107" s="22"/>
      <c r="AD107" s="13"/>
      <c r="AE107" s="22"/>
      <c r="AF107" s="22"/>
      <c r="AG107" s="22"/>
    </row>
    <row r="108" spans="1:33" ht="10.5">
      <c r="B108" s="13"/>
      <c r="D108" s="111" t="s">
        <v>101</v>
      </c>
      <c r="F108" s="108"/>
      <c r="G108" s="22"/>
      <c r="I108" s="22"/>
      <c r="J108" s="121">
        <f>SUM(J105:J107)</f>
        <v>3700</v>
      </c>
      <c r="K108" s="22"/>
      <c r="Q108" s="22"/>
      <c r="R108" s="22"/>
      <c r="S108" s="22"/>
      <c r="T108" s="22"/>
      <c r="U108" s="22"/>
      <c r="V108" s="22"/>
      <c r="W108" s="22"/>
      <c r="X108" s="22"/>
      <c r="Y108" s="22"/>
      <c r="Z108" s="22"/>
      <c r="AA108" s="22"/>
      <c r="AB108" s="22"/>
      <c r="AC108" s="22"/>
      <c r="AD108" s="13"/>
      <c r="AE108" s="22"/>
      <c r="AF108" s="22"/>
      <c r="AG108" s="22"/>
    </row>
    <row r="109" spans="1:33" ht="10.5">
      <c r="B109" s="13">
        <v>3</v>
      </c>
      <c r="C109" s="124" t="s">
        <v>248</v>
      </c>
      <c r="D109" s="111"/>
      <c r="F109" s="108"/>
      <c r="G109" s="22"/>
      <c r="I109" s="22"/>
      <c r="J109" s="121"/>
      <c r="K109" s="22"/>
      <c r="Q109" s="22"/>
      <c r="R109" s="22"/>
      <c r="S109" s="22"/>
      <c r="T109" s="22"/>
      <c r="U109" s="22"/>
      <c r="V109" s="22"/>
      <c r="W109" s="22"/>
      <c r="X109" s="22"/>
      <c r="Y109" s="22"/>
      <c r="Z109" s="22"/>
      <c r="AA109" s="22"/>
      <c r="AB109" s="22"/>
      <c r="AC109" s="22"/>
      <c r="AD109" s="13"/>
      <c r="AE109" s="22"/>
      <c r="AF109" s="22"/>
      <c r="AG109" s="22"/>
    </row>
    <row r="110" spans="1:33" ht="10.5">
      <c r="B110" s="13"/>
      <c r="C110" s="111" t="s">
        <v>102</v>
      </c>
      <c r="E110" s="108"/>
      <c r="F110" s="108"/>
      <c r="G110" s="124"/>
      <c r="I110" s="22"/>
      <c r="J110" s="121">
        <f>J103 + J108</f>
        <v>152620</v>
      </c>
      <c r="K110" s="22"/>
      <c r="Q110" s="22"/>
      <c r="R110" s="22"/>
      <c r="S110" s="22"/>
      <c r="T110" s="22"/>
      <c r="U110" s="22"/>
      <c r="V110" s="22"/>
      <c r="W110" s="22"/>
      <c r="X110" s="22"/>
      <c r="Y110" s="22"/>
      <c r="Z110" s="22"/>
      <c r="AA110" s="22"/>
      <c r="AB110" s="22"/>
      <c r="AC110" s="22"/>
      <c r="AD110" s="13"/>
      <c r="AE110" s="22"/>
      <c r="AF110" s="22"/>
      <c r="AG110" s="22"/>
    </row>
    <row r="111" spans="1:33" ht="10.5">
      <c r="B111" s="13"/>
      <c r="C111" s="111" t="s">
        <v>117</v>
      </c>
      <c r="E111" s="108"/>
      <c r="F111" s="108"/>
      <c r="G111" s="124"/>
      <c r="I111" s="22"/>
      <c r="J111" s="245">
        <f>Overview!G17</f>
        <v>0.03</v>
      </c>
      <c r="K111" s="22" t="s">
        <v>250</v>
      </c>
      <c r="Q111" s="22"/>
      <c r="R111" s="22"/>
      <c r="S111" s="22"/>
      <c r="T111" s="22"/>
      <c r="U111" s="22"/>
      <c r="V111" s="22"/>
      <c r="W111" s="22"/>
      <c r="X111" s="22"/>
      <c r="Y111" s="22"/>
      <c r="Z111" s="22"/>
      <c r="AA111" s="22"/>
      <c r="AB111" s="22"/>
      <c r="AC111" s="22"/>
      <c r="AD111" s="13"/>
      <c r="AE111" s="22"/>
      <c r="AF111" s="22"/>
      <c r="AG111" s="22"/>
    </row>
    <row r="112" spans="1:33" ht="10.5">
      <c r="B112" s="13"/>
      <c r="C112" s="111" t="s">
        <v>249</v>
      </c>
      <c r="E112" s="108"/>
      <c r="F112" s="108"/>
      <c r="G112" s="124"/>
      <c r="I112" s="22"/>
      <c r="J112" s="246">
        <v>0.05</v>
      </c>
      <c r="K112" s="22" t="s">
        <v>268</v>
      </c>
      <c r="Q112" s="22"/>
      <c r="R112" s="22"/>
      <c r="S112" s="22"/>
      <c r="T112" s="22"/>
      <c r="U112" s="22"/>
      <c r="V112" s="22"/>
      <c r="W112" s="22"/>
      <c r="X112" s="22"/>
      <c r="Y112" s="22"/>
      <c r="Z112" s="22"/>
      <c r="AA112" s="22"/>
      <c r="AB112" s="22"/>
      <c r="AC112" s="22"/>
      <c r="AD112" s="13"/>
      <c r="AE112" s="22"/>
      <c r="AF112" s="22"/>
      <c r="AG112" s="22"/>
    </row>
    <row r="113" spans="2:33" ht="10.5">
      <c r="B113" s="13">
        <v>4</v>
      </c>
      <c r="C113" s="124" t="s">
        <v>28</v>
      </c>
      <c r="D113" s="122"/>
      <c r="E113" s="108"/>
      <c r="J113" s="108"/>
      <c r="K113" s="108"/>
      <c r="Q113" s="108"/>
      <c r="R113" s="108"/>
      <c r="S113" s="22"/>
      <c r="T113" s="22"/>
      <c r="U113" s="22"/>
      <c r="V113" s="22"/>
      <c r="W113" s="22"/>
      <c r="X113" s="22"/>
      <c r="Y113" s="22"/>
      <c r="Z113" s="22"/>
      <c r="AA113" s="22"/>
      <c r="AB113" s="22"/>
      <c r="AC113" s="22"/>
      <c r="AD113" s="13"/>
      <c r="AE113" s="22"/>
      <c r="AF113" s="22"/>
      <c r="AG113" s="22"/>
    </row>
    <row r="114" spans="2:33" ht="10.5">
      <c r="B114" s="13"/>
      <c r="C114" s="124"/>
      <c r="D114" s="122"/>
      <c r="E114" s="108" t="s">
        <v>215</v>
      </c>
      <c r="I114" s="272">
        <f>Overview!G14</f>
        <v>4.8</v>
      </c>
      <c r="J114" s="273" t="s">
        <v>197</v>
      </c>
      <c r="K114" s="108"/>
      <c r="L114" s="70"/>
      <c r="M114" s="70"/>
      <c r="Q114" s="108"/>
      <c r="R114" s="108"/>
      <c r="S114" s="22"/>
      <c r="T114" s="22"/>
      <c r="U114" s="22"/>
      <c r="V114" s="22"/>
      <c r="W114" s="22"/>
      <c r="X114" s="22"/>
      <c r="Y114" s="22"/>
      <c r="Z114" s="22"/>
      <c r="AA114" s="22"/>
      <c r="AB114" s="22"/>
      <c r="AC114" s="22"/>
      <c r="AD114" s="13"/>
      <c r="AE114" s="22"/>
      <c r="AF114" s="22"/>
      <c r="AG114" s="22"/>
    </row>
    <row r="115" spans="2:33" ht="10.5">
      <c r="B115" s="13"/>
      <c r="C115" s="124"/>
      <c r="E115" s="111" t="s">
        <v>103</v>
      </c>
      <c r="G115" s="14"/>
      <c r="H115" s="263">
        <v>0.01</v>
      </c>
      <c r="I115" s="274" t="s">
        <v>289</v>
      </c>
      <c r="J115" s="254">
        <f>H115 * H$97</f>
        <v>1.7</v>
      </c>
      <c r="K115" s="258" t="s">
        <v>104</v>
      </c>
      <c r="L115" s="258"/>
      <c r="M115" s="258"/>
      <c r="Q115" s="22"/>
      <c r="R115" s="108"/>
      <c r="S115" s="22"/>
      <c r="T115" s="22"/>
      <c r="U115" s="22"/>
      <c r="V115" s="22"/>
      <c r="W115" s="22"/>
      <c r="X115" s="22"/>
      <c r="Y115" s="22"/>
      <c r="Z115" s="22"/>
      <c r="AA115" s="22"/>
      <c r="AB115" s="22"/>
      <c r="AC115" s="22"/>
      <c r="AD115" s="13"/>
      <c r="AE115" s="22"/>
      <c r="AF115" s="22"/>
      <c r="AG115" s="22"/>
    </row>
    <row r="116" spans="2:33" ht="10.5">
      <c r="B116" s="13"/>
      <c r="C116" s="124"/>
      <c r="E116" s="111" t="s">
        <v>105</v>
      </c>
      <c r="G116" s="14"/>
      <c r="H116" s="245">
        <v>0.05</v>
      </c>
      <c r="I116" s="274" t="s">
        <v>275</v>
      </c>
      <c r="J116" s="254">
        <f>H116 * J$98</f>
        <v>7300</v>
      </c>
      <c r="L116" s="14" t="s">
        <v>106</v>
      </c>
      <c r="Q116" s="22"/>
      <c r="R116" s="108"/>
      <c r="S116" s="22"/>
      <c r="T116" s="22"/>
      <c r="U116" s="22"/>
      <c r="V116" s="22"/>
      <c r="W116" s="22"/>
      <c r="X116" s="22"/>
      <c r="Y116" s="22"/>
      <c r="Z116" s="22"/>
      <c r="AA116" s="22"/>
      <c r="AB116" s="22"/>
      <c r="AC116" s="22"/>
      <c r="AD116" s="13"/>
      <c r="AE116" s="22"/>
      <c r="AF116" s="22"/>
      <c r="AG116" s="22"/>
    </row>
    <row r="117" spans="2:33" ht="10.5">
      <c r="B117" s="13"/>
      <c r="C117" s="124"/>
      <c r="E117" s="111" t="s">
        <v>107</v>
      </c>
      <c r="G117" s="14"/>
      <c r="H117" s="237">
        <v>5</v>
      </c>
      <c r="I117" s="274" t="s">
        <v>284</v>
      </c>
      <c r="J117" s="254">
        <f>H117 * H$97</f>
        <v>850</v>
      </c>
      <c r="L117" s="22"/>
      <c r="Q117" s="22"/>
      <c r="R117" s="108"/>
      <c r="S117" s="22"/>
      <c r="T117" s="22"/>
      <c r="U117" s="22"/>
      <c r="V117" s="22"/>
      <c r="W117" s="22"/>
      <c r="X117" s="22"/>
      <c r="Y117" s="22"/>
      <c r="Z117" s="22"/>
      <c r="AA117" s="22"/>
      <c r="AB117" s="22"/>
      <c r="AC117" s="22"/>
      <c r="AD117" s="13"/>
      <c r="AE117" s="22"/>
      <c r="AF117" s="22"/>
      <c r="AG117" s="22"/>
    </row>
    <row r="118" spans="2:33" ht="10.5">
      <c r="B118" s="13"/>
      <c r="C118" s="124"/>
      <c r="E118" s="111" t="s">
        <v>108</v>
      </c>
      <c r="G118" s="14"/>
      <c r="H118" s="237">
        <v>5</v>
      </c>
      <c r="I118" s="14" t="s">
        <v>109</v>
      </c>
      <c r="J118" s="255">
        <f>H118 * 12</f>
        <v>60</v>
      </c>
      <c r="K118" s="108"/>
      <c r="L118" s="22"/>
      <c r="Q118" s="22"/>
      <c r="R118" s="108"/>
      <c r="S118" s="22"/>
      <c r="T118" s="22"/>
      <c r="U118" s="22"/>
      <c r="V118" s="22"/>
      <c r="W118" s="22"/>
      <c r="X118" s="22"/>
      <c r="Y118" s="22"/>
      <c r="Z118" s="22"/>
      <c r="AA118" s="22"/>
      <c r="AB118" s="22"/>
      <c r="AC118" s="22"/>
      <c r="AD118" s="13"/>
      <c r="AE118" s="22"/>
      <c r="AF118" s="22"/>
      <c r="AG118" s="22"/>
    </row>
    <row r="119" spans="2:33" ht="10.5">
      <c r="B119" s="13"/>
      <c r="C119" s="124"/>
      <c r="E119" s="111" t="s">
        <v>110</v>
      </c>
      <c r="G119" s="14"/>
      <c r="H119" s="237">
        <v>0</v>
      </c>
      <c r="I119" s="108" t="s">
        <v>111</v>
      </c>
      <c r="J119" s="255">
        <f>H119</f>
        <v>0</v>
      </c>
      <c r="K119" s="108"/>
      <c r="L119" s="22"/>
      <c r="Q119" s="22"/>
      <c r="R119" s="108"/>
      <c r="S119" s="22"/>
      <c r="T119" s="22"/>
      <c r="U119" s="22"/>
      <c r="V119" s="22"/>
      <c r="W119" s="22"/>
      <c r="X119" s="22"/>
      <c r="Y119" s="22"/>
      <c r="Z119" s="22"/>
      <c r="AA119" s="22"/>
      <c r="AB119" s="22"/>
      <c r="AC119" s="22"/>
      <c r="AD119" s="13"/>
      <c r="AE119" s="22"/>
      <c r="AF119" s="22"/>
      <c r="AG119" s="22"/>
    </row>
    <row r="120" spans="2:33" ht="10.5">
      <c r="B120" s="13"/>
      <c r="C120" s="124"/>
      <c r="D120" s="111" t="s">
        <v>112</v>
      </c>
      <c r="G120" s="14"/>
      <c r="H120" s="108"/>
      <c r="I120" s="108"/>
      <c r="J120" s="254">
        <f>SUM(J115:J119)</f>
        <v>8211.7000000000007</v>
      </c>
      <c r="L120" s="22"/>
      <c r="Q120" s="22"/>
      <c r="R120" s="108"/>
      <c r="S120" s="22"/>
      <c r="T120" s="22"/>
      <c r="U120" s="22"/>
      <c r="V120" s="22"/>
      <c r="W120" s="22"/>
      <c r="X120" s="22"/>
      <c r="Y120" s="22"/>
      <c r="Z120" s="22"/>
      <c r="AA120" s="22"/>
      <c r="AB120" s="22"/>
      <c r="AC120" s="22"/>
      <c r="AD120" s="13"/>
      <c r="AE120" s="22"/>
      <c r="AF120" s="22"/>
      <c r="AG120" s="22"/>
    </row>
    <row r="121" spans="2:33" ht="10.5">
      <c r="B121" s="13">
        <v>5</v>
      </c>
      <c r="C121" s="124" t="s">
        <v>276</v>
      </c>
      <c r="D121" s="122"/>
      <c r="E121" s="108"/>
      <c r="F121" s="70"/>
      <c r="G121" s="14"/>
      <c r="H121" s="22"/>
      <c r="I121" s="22"/>
      <c r="J121" s="22"/>
      <c r="K121" s="22"/>
      <c r="Q121" s="22"/>
      <c r="R121" s="108"/>
      <c r="S121" s="22"/>
      <c r="T121" s="22"/>
      <c r="U121" s="22"/>
      <c r="V121" s="22"/>
      <c r="W121" s="22"/>
      <c r="X121" s="22"/>
      <c r="Y121" s="22"/>
      <c r="Z121" s="22"/>
      <c r="AA121" s="22"/>
      <c r="AB121" s="22"/>
      <c r="AC121" s="22"/>
      <c r="AD121" s="13"/>
      <c r="AE121" s="22"/>
      <c r="AF121" s="22"/>
      <c r="AG121" s="22"/>
    </row>
    <row r="122" spans="2:33" ht="10.5">
      <c r="B122" s="13"/>
      <c r="C122" s="124"/>
      <c r="D122" s="122" t="s">
        <v>279</v>
      </c>
      <c r="E122" s="108"/>
      <c r="F122" s="70"/>
      <c r="G122" s="14"/>
      <c r="H122" s="236">
        <v>4</v>
      </c>
      <c r="I122" s="22"/>
      <c r="J122" s="22"/>
      <c r="K122" s="22"/>
      <c r="Q122" s="22"/>
      <c r="R122" s="108"/>
      <c r="S122" s="22"/>
      <c r="T122" s="22"/>
      <c r="U122" s="22"/>
      <c r="V122" s="22"/>
      <c r="W122" s="22"/>
      <c r="X122" s="22"/>
      <c r="Y122" s="22"/>
      <c r="Z122" s="22"/>
      <c r="AA122" s="22"/>
      <c r="AB122" s="22"/>
      <c r="AC122" s="22"/>
      <c r="AD122" s="13"/>
      <c r="AE122" s="22"/>
      <c r="AF122" s="22"/>
      <c r="AG122" s="22"/>
    </row>
    <row r="123" spans="2:33" ht="10.5">
      <c r="B123" s="13"/>
      <c r="C123" s="124"/>
      <c r="D123" s="111" t="s">
        <v>277</v>
      </c>
      <c r="G123" s="14"/>
      <c r="H123" s="253">
        <v>5</v>
      </c>
      <c r="I123" s="22" t="s">
        <v>255</v>
      </c>
      <c r="J123" s="22"/>
      <c r="K123" s="22"/>
      <c r="Q123" s="22"/>
      <c r="R123" s="108"/>
      <c r="S123" s="22"/>
      <c r="T123" s="22"/>
      <c r="U123" s="22"/>
      <c r="V123" s="22"/>
      <c r="W123" s="22"/>
      <c r="X123" s="22"/>
      <c r="Y123" s="22"/>
      <c r="Z123" s="22"/>
      <c r="AA123" s="22"/>
      <c r="AB123" s="22"/>
      <c r="AC123" s="22"/>
      <c r="AD123" s="13"/>
      <c r="AE123" s="22"/>
      <c r="AF123" s="22"/>
      <c r="AG123" s="22"/>
    </row>
    <row r="124" spans="2:33" ht="10.5">
      <c r="B124" s="13"/>
      <c r="C124" s="124"/>
      <c r="D124" s="111" t="s">
        <v>278</v>
      </c>
      <c r="G124" s="14"/>
      <c r="H124" s="236">
        <v>250</v>
      </c>
      <c r="I124" s="274" t="s">
        <v>280</v>
      </c>
      <c r="J124" s="256">
        <f>H124 * H122</f>
        <v>1000</v>
      </c>
      <c r="Q124" s="22"/>
      <c r="R124" s="108"/>
      <c r="S124" s="22"/>
      <c r="T124" s="22"/>
      <c r="U124" s="22"/>
      <c r="V124" s="22"/>
      <c r="W124" s="22"/>
      <c r="X124" s="22"/>
      <c r="Y124" s="22"/>
      <c r="Z124" s="22"/>
      <c r="AA124" s="22"/>
      <c r="AB124" s="22"/>
      <c r="AC124" s="22"/>
      <c r="AD124" s="13"/>
      <c r="AE124" s="22"/>
      <c r="AF124" s="22"/>
      <c r="AG124" s="22"/>
    </row>
    <row r="125" spans="2:33" ht="10.5">
      <c r="B125" s="13"/>
      <c r="C125" s="124"/>
      <c r="D125" s="111" t="s">
        <v>287</v>
      </c>
      <c r="G125" s="14"/>
      <c r="H125" s="70"/>
      <c r="J125" s="257">
        <f>J124 / (H123)</f>
        <v>200</v>
      </c>
      <c r="K125" s="108"/>
      <c r="Q125" s="22"/>
      <c r="R125" s="108"/>
      <c r="S125" s="22"/>
      <c r="T125" s="22"/>
      <c r="U125" s="22"/>
      <c r="V125" s="22"/>
      <c r="W125" s="22"/>
      <c r="X125" s="22"/>
      <c r="Y125" s="22"/>
      <c r="Z125" s="22"/>
      <c r="AA125" s="22"/>
      <c r="AB125" s="22"/>
      <c r="AC125" s="22"/>
      <c r="AD125" s="13"/>
      <c r="AE125" s="22"/>
      <c r="AF125" s="22"/>
      <c r="AG125" s="22"/>
    </row>
    <row r="126" spans="2:33" ht="10.5">
      <c r="B126" s="13">
        <v>6</v>
      </c>
      <c r="C126" s="124" t="s">
        <v>113</v>
      </c>
      <c r="D126" s="126"/>
      <c r="G126" s="14"/>
      <c r="H126" s="108"/>
      <c r="I126" s="22"/>
      <c r="J126" s="22"/>
      <c r="K126" s="22"/>
      <c r="Q126" s="22"/>
      <c r="R126" s="22"/>
      <c r="S126" s="22"/>
      <c r="T126" s="22"/>
      <c r="U126" s="22"/>
      <c r="V126" s="22"/>
      <c r="W126" s="22"/>
      <c r="X126" s="22"/>
      <c r="Y126" s="22"/>
      <c r="Z126" s="22"/>
      <c r="AA126" s="22"/>
      <c r="AB126" s="22"/>
      <c r="AC126" s="22"/>
      <c r="AD126" s="13"/>
      <c r="AE126" s="22"/>
      <c r="AF126" s="22"/>
      <c r="AG126" s="22"/>
    </row>
    <row r="127" spans="2:33" ht="10.5">
      <c r="B127" s="13"/>
      <c r="C127" s="124"/>
      <c r="D127" s="73" t="s">
        <v>217</v>
      </c>
      <c r="H127" s="125">
        <f>'Inputs from tech analysis'!G8</f>
        <v>183700</v>
      </c>
      <c r="I127" s="127" t="s">
        <v>114</v>
      </c>
      <c r="J127" s="108"/>
      <c r="Q127" s="22"/>
      <c r="R127" s="22"/>
      <c r="S127" s="22"/>
      <c r="T127" s="22"/>
      <c r="U127" s="22"/>
      <c r="V127" s="22"/>
      <c r="W127" s="22"/>
      <c r="X127" s="22"/>
      <c r="Y127" s="22"/>
      <c r="Z127" s="22"/>
      <c r="AA127" s="22"/>
      <c r="AB127" s="22"/>
      <c r="AC127" s="22"/>
      <c r="AD127" s="13"/>
      <c r="AE127" s="22"/>
      <c r="AF127" s="22"/>
      <c r="AG127" s="22"/>
    </row>
    <row r="128" spans="2:33" ht="10.5">
      <c r="B128" s="57"/>
      <c r="C128" s="57"/>
      <c r="D128" s="73" t="s">
        <v>209</v>
      </c>
      <c r="H128" s="127">
        <f>'Inputs from tech analysis'!J8</f>
        <v>146999.99833</v>
      </c>
      <c r="I128" s="127" t="s">
        <v>114</v>
      </c>
      <c r="L128" s="22"/>
      <c r="M128" s="22"/>
      <c r="N128" s="22"/>
      <c r="O128" s="22"/>
      <c r="Q128" s="22"/>
      <c r="R128" s="22"/>
      <c r="S128" s="22"/>
      <c r="T128" s="22"/>
      <c r="U128" s="22"/>
      <c r="V128" s="22"/>
      <c r="W128" s="22"/>
      <c r="X128" s="22"/>
      <c r="Y128" s="22"/>
      <c r="Z128" s="22"/>
      <c r="AA128" s="22"/>
      <c r="AB128" s="22"/>
      <c r="AC128" s="22"/>
      <c r="AD128" s="13"/>
      <c r="AE128" s="22"/>
      <c r="AF128" s="22"/>
      <c r="AG128" s="22"/>
    </row>
    <row r="129" spans="2:33" ht="10.5">
      <c r="B129" s="57"/>
      <c r="C129" s="57"/>
      <c r="D129" s="313" t="s">
        <v>80</v>
      </c>
      <c r="E129" s="313"/>
      <c r="F129" s="313"/>
      <c r="G129" s="313"/>
      <c r="H129" s="127"/>
      <c r="I129" s="127"/>
      <c r="L129" s="22"/>
      <c r="M129" s="22"/>
      <c r="N129" s="22"/>
      <c r="O129" s="22"/>
      <c r="Q129" s="22"/>
      <c r="R129" s="22"/>
      <c r="S129" s="22"/>
      <c r="T129" s="22"/>
      <c r="U129" s="22"/>
      <c r="V129" s="22"/>
      <c r="W129" s="22"/>
      <c r="X129" s="22"/>
      <c r="Y129" s="22"/>
      <c r="Z129" s="22"/>
      <c r="AA129" s="22"/>
      <c r="AB129" s="22"/>
      <c r="AC129" s="22"/>
      <c r="AD129" s="13"/>
      <c r="AE129" s="22"/>
      <c r="AF129" s="22"/>
      <c r="AG129" s="22"/>
    </row>
    <row r="130" spans="2:33" ht="10.5">
      <c r="B130" s="57"/>
      <c r="C130" s="57"/>
      <c r="D130" s="203"/>
      <c r="E130" s="73" t="s">
        <v>220</v>
      </c>
      <c r="F130" s="203"/>
      <c r="G130" s="203"/>
      <c r="H130" s="239">
        <v>0.03</v>
      </c>
      <c r="I130" s="127"/>
      <c r="L130" s="22"/>
      <c r="M130" s="22"/>
      <c r="N130" s="22"/>
      <c r="O130" s="22"/>
      <c r="Q130" s="22"/>
      <c r="R130" s="22"/>
      <c r="S130" s="22"/>
      <c r="T130" s="22"/>
      <c r="U130" s="22"/>
      <c r="V130" s="22"/>
      <c r="W130" s="22"/>
      <c r="X130" s="22"/>
      <c r="Y130" s="22"/>
      <c r="Z130" s="22"/>
      <c r="AA130" s="22"/>
      <c r="AB130" s="22"/>
      <c r="AC130" s="22"/>
      <c r="AD130" s="13"/>
      <c r="AE130" s="22"/>
      <c r="AF130" s="22"/>
      <c r="AG130" s="22"/>
    </row>
    <row r="131" spans="2:33" ht="16" customHeight="1">
      <c r="B131" s="57"/>
      <c r="C131" s="57"/>
      <c r="E131" s="14" t="s">
        <v>222</v>
      </c>
      <c r="G131" s="14"/>
      <c r="H131" s="239">
        <v>7.0000000000000001E-3</v>
      </c>
      <c r="I131" s="74" t="s">
        <v>221</v>
      </c>
      <c r="L131" s="22"/>
      <c r="M131" s="22"/>
      <c r="N131" s="22"/>
      <c r="O131" s="22"/>
      <c r="Q131" s="22"/>
      <c r="R131" s="22"/>
      <c r="S131" s="22"/>
      <c r="T131" s="22"/>
      <c r="U131" s="22"/>
      <c r="V131" s="22"/>
      <c r="W131" s="22"/>
      <c r="X131" s="22"/>
      <c r="Y131" s="22"/>
      <c r="Z131" s="22"/>
      <c r="AA131" s="22"/>
      <c r="AB131" s="22"/>
      <c r="AC131" s="22"/>
      <c r="AD131" s="13"/>
      <c r="AE131" s="22"/>
      <c r="AF131" s="22"/>
      <c r="AG131" s="22"/>
    </row>
    <row r="132" spans="2:33" ht="10.5">
      <c r="B132" s="108"/>
      <c r="C132" s="108"/>
      <c r="D132" s="108" t="s">
        <v>227</v>
      </c>
      <c r="E132" s="108"/>
      <c r="F132" s="108"/>
      <c r="G132" s="108"/>
      <c r="H132" s="240">
        <v>2.96</v>
      </c>
      <c r="I132" s="270" t="s">
        <v>65</v>
      </c>
      <c r="J132" s="22"/>
      <c r="K132" s="22"/>
      <c r="L132" s="22"/>
      <c r="M132" s="22"/>
      <c r="N132" s="22"/>
      <c r="O132" s="22"/>
      <c r="Q132" s="22"/>
      <c r="R132" s="22"/>
      <c r="S132" s="22"/>
      <c r="T132" s="22"/>
      <c r="U132" s="22"/>
      <c r="V132" s="22"/>
      <c r="W132" s="22"/>
      <c r="X132" s="22"/>
      <c r="Y132" s="22"/>
      <c r="Z132" s="22"/>
      <c r="AA132" s="22"/>
      <c r="AB132" s="22"/>
      <c r="AC132" s="22"/>
      <c r="AD132" s="13"/>
      <c r="AE132" s="22"/>
      <c r="AF132" s="22"/>
      <c r="AG132" s="22"/>
    </row>
    <row r="133" spans="2:33" ht="10.5">
      <c r="B133" s="108"/>
      <c r="C133" s="108"/>
      <c r="D133" s="108" t="s">
        <v>241</v>
      </c>
      <c r="E133" s="108"/>
      <c r="F133" s="108"/>
      <c r="G133" s="108"/>
      <c r="H133" s="240">
        <f>Overview!G15</f>
        <v>5</v>
      </c>
      <c r="I133" s="270" t="s">
        <v>65</v>
      </c>
      <c r="J133" s="22"/>
      <c r="K133" s="22"/>
      <c r="L133" s="22"/>
      <c r="M133" s="22"/>
      <c r="N133" s="22"/>
      <c r="O133" s="22"/>
      <c r="Q133" s="22"/>
      <c r="R133" s="22"/>
      <c r="S133" s="22"/>
      <c r="T133" s="22"/>
      <c r="U133" s="22"/>
      <c r="V133" s="22"/>
      <c r="W133" s="22"/>
      <c r="X133" s="22"/>
      <c r="Y133" s="22"/>
      <c r="Z133" s="22"/>
      <c r="AA133" s="22"/>
      <c r="AB133" s="22"/>
      <c r="AC133" s="22"/>
      <c r="AD133" s="13"/>
      <c r="AE133" s="22"/>
      <c r="AF133" s="22"/>
      <c r="AG133" s="22"/>
    </row>
    <row r="134" spans="2:33" ht="10.5">
      <c r="D134" s="73" t="s">
        <v>229</v>
      </c>
      <c r="G134" s="14"/>
      <c r="H134" s="240">
        <v>4</v>
      </c>
      <c r="I134" s="270" t="s">
        <v>65</v>
      </c>
      <c r="Q134" s="22"/>
      <c r="R134" s="22"/>
      <c r="S134" s="22"/>
      <c r="T134" s="22"/>
      <c r="U134" s="22"/>
      <c r="V134" s="22"/>
      <c r="W134" s="22"/>
      <c r="X134" s="22"/>
      <c r="Y134" s="22"/>
      <c r="Z134" s="22"/>
      <c r="AA134" s="22"/>
      <c r="AB134" s="22"/>
      <c r="AC134" s="22"/>
      <c r="AD134" s="13"/>
      <c r="AE134" s="22"/>
      <c r="AF134" s="22"/>
      <c r="AG134" s="22"/>
    </row>
    <row r="135" spans="2:33" ht="10.5">
      <c r="B135" s="13">
        <v>7</v>
      </c>
      <c r="C135" s="14" t="s">
        <v>126</v>
      </c>
      <c r="P135" s="22"/>
      <c r="Q135" s="22"/>
      <c r="R135" s="22"/>
      <c r="S135" s="22"/>
      <c r="T135" s="22"/>
      <c r="U135" s="22"/>
      <c r="V135" s="22"/>
      <c r="W135" s="22"/>
      <c r="X135" s="22"/>
      <c r="Y135" s="22"/>
      <c r="Z135" s="22"/>
      <c r="AA135" s="22"/>
      <c r="AB135" s="22"/>
      <c r="AC135" s="22"/>
      <c r="AD135" s="13"/>
      <c r="AE135" s="22"/>
      <c r="AF135" s="22"/>
      <c r="AG135" s="22"/>
    </row>
    <row r="136" spans="2:33" ht="10.5">
      <c r="D136" s="14" t="s">
        <v>123</v>
      </c>
      <c r="H136" s="162">
        <v>0.17</v>
      </c>
      <c r="I136" s="70" t="s">
        <v>124</v>
      </c>
      <c r="J136" s="163" t="s">
        <v>125</v>
      </c>
      <c r="R136" s="22"/>
      <c r="S136" s="22"/>
      <c r="T136" s="22"/>
      <c r="U136" s="22"/>
      <c r="V136" s="22"/>
      <c r="W136" s="22"/>
      <c r="X136" s="22"/>
      <c r="Y136" s="22"/>
      <c r="Z136" s="22"/>
      <c r="AA136" s="22"/>
      <c r="AB136" s="22"/>
      <c r="AC136" s="22"/>
      <c r="AD136" s="13"/>
      <c r="AE136" s="22"/>
      <c r="AF136" s="22"/>
      <c r="AG136" s="22"/>
    </row>
    <row r="137" spans="2:33" ht="10.5">
      <c r="D137" s="14" t="s">
        <v>127</v>
      </c>
      <c r="H137" s="162">
        <v>0.08</v>
      </c>
      <c r="I137" s="163" t="s">
        <v>128</v>
      </c>
      <c r="R137" s="22"/>
      <c r="S137" s="22"/>
      <c r="T137" s="22"/>
      <c r="U137" s="22"/>
      <c r="V137" s="22"/>
      <c r="W137" s="22"/>
      <c r="X137" s="22"/>
      <c r="Y137" s="22"/>
      <c r="Z137" s="22"/>
      <c r="AA137" s="22"/>
      <c r="AB137" s="22"/>
      <c r="AC137" s="22"/>
      <c r="AD137" s="13"/>
      <c r="AE137" s="22"/>
      <c r="AF137" s="22"/>
      <c r="AG137" s="22"/>
    </row>
    <row r="138" spans="2:33" ht="10.5">
      <c r="J138" s="163"/>
      <c r="R138" s="22"/>
      <c r="S138" s="22"/>
      <c r="T138" s="22"/>
      <c r="U138" s="22"/>
      <c r="V138" s="22"/>
      <c r="W138" s="22"/>
      <c r="X138" s="22"/>
      <c r="Y138" s="22"/>
      <c r="Z138" s="22"/>
      <c r="AA138" s="22"/>
      <c r="AB138" s="22"/>
      <c r="AC138" s="22"/>
      <c r="AD138" s="13"/>
      <c r="AE138" s="22"/>
      <c r="AF138" s="22"/>
      <c r="AG138" s="22"/>
    </row>
    <row r="140" spans="2:33" ht="10.5">
      <c r="P140" s="22"/>
      <c r="Q140" s="22"/>
      <c r="R140" s="22"/>
      <c r="S140" s="22"/>
      <c r="T140" s="22"/>
      <c r="U140" s="22"/>
      <c r="V140" s="22"/>
      <c r="W140" s="22"/>
      <c r="X140" s="22"/>
      <c r="Y140" s="22"/>
      <c r="Z140" s="22"/>
      <c r="AA140" s="22"/>
      <c r="AB140" s="22"/>
      <c r="AC140" s="22"/>
      <c r="AD140" s="13"/>
      <c r="AE140" s="22"/>
      <c r="AF140" s="22"/>
      <c r="AG140" s="22"/>
    </row>
    <row r="141" spans="2:33" ht="10.5">
      <c r="P141" s="22"/>
      <c r="Q141" s="22"/>
      <c r="R141" s="22"/>
      <c r="S141" s="22"/>
      <c r="T141" s="22"/>
      <c r="U141" s="22"/>
      <c r="V141" s="22"/>
      <c r="W141" s="22"/>
      <c r="X141" s="22"/>
      <c r="Y141" s="22"/>
      <c r="Z141" s="22"/>
      <c r="AA141" s="22"/>
      <c r="AB141" s="22"/>
      <c r="AC141" s="22"/>
      <c r="AD141" s="13"/>
      <c r="AE141" s="22"/>
      <c r="AF141" s="22"/>
      <c r="AG141" s="22"/>
    </row>
    <row r="142" spans="2:33" ht="10.5">
      <c r="Q142" s="22"/>
      <c r="R142" s="22"/>
      <c r="S142" s="22"/>
      <c r="T142" s="22"/>
      <c r="U142" s="22"/>
      <c r="V142" s="22"/>
      <c r="W142" s="22"/>
      <c r="X142" s="22"/>
      <c r="Y142" s="22"/>
      <c r="Z142" s="22"/>
      <c r="AA142" s="22"/>
      <c r="AB142" s="22"/>
      <c r="AC142" s="22"/>
      <c r="AD142" s="13"/>
      <c r="AE142" s="22"/>
      <c r="AF142" s="22"/>
      <c r="AG142" s="22"/>
    </row>
    <row r="144" spans="2:33" ht="10.5">
      <c r="P144" s="22"/>
      <c r="Q144" s="22"/>
      <c r="R144" s="22"/>
      <c r="S144" s="22"/>
      <c r="T144" s="22"/>
      <c r="U144" s="22"/>
      <c r="V144" s="22"/>
      <c r="W144" s="22"/>
      <c r="X144" s="22"/>
      <c r="Y144" s="22"/>
      <c r="Z144" s="22"/>
      <c r="AA144" s="22"/>
      <c r="AB144" s="22"/>
      <c r="AC144" s="22"/>
      <c r="AD144" s="13"/>
      <c r="AE144" s="22"/>
      <c r="AF144" s="22"/>
      <c r="AG144" s="22"/>
    </row>
    <row r="145" spans="16:38" ht="10.5">
      <c r="P145" s="22"/>
      <c r="Q145" s="22"/>
      <c r="R145" s="22"/>
      <c r="S145" s="22"/>
      <c r="T145" s="22"/>
      <c r="U145" s="22"/>
      <c r="V145" s="22"/>
      <c r="W145" s="22"/>
      <c r="X145" s="22"/>
      <c r="Y145" s="22"/>
      <c r="Z145" s="22"/>
      <c r="AA145" s="22"/>
      <c r="AB145" s="22"/>
      <c r="AC145" s="22"/>
      <c r="AD145" s="13"/>
      <c r="AE145" s="22"/>
      <c r="AF145" s="22"/>
      <c r="AG145" s="22"/>
    </row>
    <row r="146" spans="16:38" ht="10.5">
      <c r="P146" s="22"/>
      <c r="Q146" s="22"/>
      <c r="R146" s="22"/>
      <c r="S146" s="22"/>
      <c r="T146" s="22"/>
      <c r="U146" s="22"/>
      <c r="V146" s="22"/>
      <c r="W146" s="22"/>
      <c r="X146" s="22"/>
      <c r="Y146" s="22"/>
      <c r="Z146" s="22"/>
      <c r="AA146" s="22"/>
      <c r="AB146" s="22"/>
      <c r="AC146" s="22"/>
      <c r="AD146" s="13"/>
      <c r="AE146" s="22"/>
      <c r="AF146" s="22"/>
      <c r="AG146" s="22"/>
    </row>
    <row r="147" spans="16:38" ht="10.5">
      <c r="P147" s="22"/>
      <c r="Q147" s="22"/>
      <c r="R147" s="22"/>
      <c r="S147" s="22"/>
      <c r="T147" s="22"/>
      <c r="U147" s="22"/>
      <c r="V147" s="22"/>
      <c r="W147" s="22"/>
      <c r="X147" s="22"/>
      <c r="Y147" s="22"/>
      <c r="Z147" s="22"/>
      <c r="AA147" s="22"/>
      <c r="AB147" s="22"/>
      <c r="AC147" s="22"/>
      <c r="AD147" s="13"/>
      <c r="AE147" s="22"/>
      <c r="AF147" s="22"/>
      <c r="AG147" s="22"/>
    </row>
    <row r="148" spans="16:38" ht="13.5" customHeight="1">
      <c r="P148" s="22"/>
      <c r="Q148" s="22"/>
      <c r="R148" s="22"/>
      <c r="S148" s="22"/>
      <c r="T148" s="22"/>
      <c r="U148" s="22"/>
      <c r="V148" s="22"/>
      <c r="W148" s="22"/>
      <c r="X148" s="22"/>
      <c r="Y148" s="22"/>
      <c r="Z148" s="22"/>
      <c r="AA148" s="22"/>
      <c r="AB148" s="22"/>
      <c r="AC148" s="22"/>
      <c r="AD148" s="13"/>
      <c r="AE148" s="22"/>
      <c r="AF148" s="22"/>
      <c r="AG148" s="22"/>
    </row>
    <row r="149" spans="16:38" ht="14.5">
      <c r="P149" s="22"/>
      <c r="Q149" s="22"/>
      <c r="R149" s="22"/>
      <c r="S149" s="22"/>
      <c r="T149" s="22"/>
      <c r="U149" s="22"/>
      <c r="V149" s="22"/>
      <c r="W149" s="22"/>
      <c r="X149" s="22"/>
      <c r="Y149" s="22"/>
      <c r="Z149" s="22"/>
      <c r="AA149" s="22"/>
      <c r="AB149" s="22"/>
      <c r="AC149" s="22"/>
      <c r="AD149" s="13"/>
      <c r="AE149" s="22"/>
      <c r="AF149" s="22"/>
      <c r="AG149" s="22"/>
      <c r="AH149" s="128"/>
      <c r="AL149" s="128"/>
    </row>
    <row r="150" spans="16:38" ht="14.5">
      <c r="P150" s="22" t="s">
        <v>115</v>
      </c>
      <c r="Q150" s="22"/>
      <c r="R150" s="22"/>
      <c r="S150" s="22"/>
      <c r="T150" s="22"/>
      <c r="U150" s="22"/>
      <c r="V150" s="22"/>
      <c r="W150" s="22"/>
      <c r="X150" s="22"/>
      <c r="Y150" s="22"/>
      <c r="Z150" s="22"/>
      <c r="AA150" s="22"/>
      <c r="AB150" s="22"/>
      <c r="AC150" s="22"/>
      <c r="AD150" s="13"/>
      <c r="AE150" s="22"/>
      <c r="AF150" s="22"/>
      <c r="AG150" s="22"/>
      <c r="AH150" s="128"/>
      <c r="AL150" s="128"/>
    </row>
    <row r="151" spans="16:38" ht="14.5">
      <c r="P151" s="22"/>
      <c r="Q151" s="22"/>
      <c r="R151" s="22"/>
      <c r="S151" s="22"/>
      <c r="T151" s="22"/>
      <c r="U151" s="22"/>
      <c r="V151" s="22"/>
      <c r="W151" s="22"/>
      <c r="X151" s="22"/>
      <c r="Y151" s="22"/>
      <c r="Z151" s="22"/>
      <c r="AA151" s="22"/>
      <c r="AB151" s="22"/>
      <c r="AC151" s="22"/>
      <c r="AD151" s="13"/>
      <c r="AE151" s="22"/>
      <c r="AF151" s="22"/>
      <c r="AG151" s="22"/>
      <c r="AH151" s="128"/>
      <c r="AL151" s="128"/>
    </row>
    <row r="152" spans="16:38" ht="14.5">
      <c r="P152" s="22"/>
      <c r="Q152" s="22"/>
      <c r="R152" s="22"/>
      <c r="S152" s="22"/>
      <c r="T152" s="22"/>
      <c r="U152" s="22"/>
      <c r="V152" s="22"/>
      <c r="W152" s="22"/>
      <c r="X152" s="22"/>
      <c r="Y152" s="22"/>
      <c r="Z152" s="22"/>
      <c r="AA152" s="22"/>
      <c r="AB152" s="22"/>
      <c r="AC152" s="22"/>
      <c r="AD152" s="13"/>
      <c r="AE152" s="22"/>
      <c r="AF152" s="22"/>
      <c r="AG152" s="22"/>
      <c r="AH152" s="128"/>
      <c r="AL152" s="128"/>
    </row>
    <row r="153" spans="16:38" ht="14.5">
      <c r="P153" s="22"/>
      <c r="Q153" s="22"/>
      <c r="R153" s="22"/>
      <c r="S153" s="22"/>
      <c r="T153" s="22"/>
      <c r="U153" s="22"/>
      <c r="V153" s="22"/>
      <c r="W153" s="22"/>
      <c r="X153" s="22"/>
      <c r="Y153" s="22"/>
      <c r="Z153" s="22"/>
      <c r="AA153" s="22"/>
      <c r="AB153" s="22"/>
      <c r="AC153" s="22"/>
      <c r="AD153" s="13"/>
      <c r="AE153" s="22"/>
      <c r="AF153" s="22"/>
      <c r="AG153" s="22"/>
      <c r="AH153" s="128"/>
      <c r="AL153" s="128"/>
    </row>
    <row r="158" spans="16:38">
      <c r="AF158" s="21"/>
      <c r="AG158" s="21"/>
    </row>
    <row r="165" spans="3:31">
      <c r="C165" s="70"/>
      <c r="D165" s="70"/>
      <c r="E165" s="70"/>
      <c r="F165" s="70"/>
      <c r="G165" s="70"/>
      <c r="H165" s="70"/>
    </row>
    <row r="166" spans="3:31">
      <c r="C166" s="70"/>
      <c r="D166" s="70"/>
      <c r="E166" s="70"/>
      <c r="F166" s="70"/>
      <c r="G166" s="70"/>
      <c r="H166" s="70"/>
    </row>
    <row r="167" spans="3:31">
      <c r="C167" s="70"/>
      <c r="D167" s="70"/>
      <c r="E167" s="70"/>
      <c r="F167" s="70"/>
      <c r="G167" s="70"/>
      <c r="H167" s="70"/>
    </row>
    <row r="168" spans="3:31">
      <c r="C168" s="70"/>
      <c r="D168" s="70"/>
      <c r="E168" s="70"/>
      <c r="F168" s="70"/>
      <c r="G168" s="70"/>
      <c r="H168" s="70"/>
    </row>
    <row r="169" spans="3:31">
      <c r="C169" s="70"/>
      <c r="D169" s="70"/>
      <c r="E169" s="70"/>
      <c r="F169" s="70"/>
      <c r="G169" s="70"/>
      <c r="H169" s="70"/>
    </row>
    <row r="170" spans="3:31">
      <c r="D170" s="70"/>
      <c r="E170" s="70"/>
      <c r="F170" s="70"/>
      <c r="G170" s="70"/>
      <c r="H170" s="70"/>
    </row>
    <row r="172" spans="3:31" ht="20">
      <c r="G172" s="42" t="s">
        <v>116</v>
      </c>
      <c r="H172" s="14" t="str">
        <f>IF(I172=0,"no", "yes")</f>
        <v>no</v>
      </c>
      <c r="I172" s="22">
        <f>COUNTIF(K172:AD173,"yes")</f>
        <v>0</v>
      </c>
      <c r="J172" s="22"/>
      <c r="K172" s="70" t="e">
        <f>IF(#REF!&lt;=0,"yes",0)</f>
        <v>#REF!</v>
      </c>
      <c r="L172" s="70" t="e">
        <f>IF(#REF!&lt;=0,"yes",0)</f>
        <v>#REF!</v>
      </c>
      <c r="M172" s="70" t="e">
        <f>IF(#REF!&lt;=0,"yes",0)</f>
        <v>#REF!</v>
      </c>
      <c r="N172" s="70" t="e">
        <f>IF(#REF!&lt;=0,"yes",0)</f>
        <v>#REF!</v>
      </c>
      <c r="O172" s="70" t="e">
        <f>IF(#REF!&lt;=0,"yes",0)</f>
        <v>#REF!</v>
      </c>
      <c r="P172" s="70" t="e">
        <f>IF(#REF!&lt;=0,"yes",0)</f>
        <v>#REF!</v>
      </c>
      <c r="Q172" s="70" t="e">
        <f>IF(#REF!&lt;=0,"yes",0)</f>
        <v>#REF!</v>
      </c>
      <c r="R172" s="70" t="e">
        <f>IF(#REF!&lt;=0,"yes",0)</f>
        <v>#REF!</v>
      </c>
      <c r="S172" s="70" t="e">
        <f>IF(#REF!&lt;=0,"yes",0)</f>
        <v>#REF!</v>
      </c>
      <c r="T172" s="70" t="e">
        <f>IF(#REF!&lt;=0,"yes",0)</f>
        <v>#REF!</v>
      </c>
      <c r="U172" s="70" t="e">
        <f>IF(#REF!&lt;=0,"yes",0)</f>
        <v>#REF!</v>
      </c>
      <c r="V172" s="70" t="e">
        <f>IF(#REF!&lt;=0,"yes",0)</f>
        <v>#REF!</v>
      </c>
      <c r="W172" s="70" t="e">
        <f>IF(#REF!&lt;=0,"yes",0)</f>
        <v>#REF!</v>
      </c>
      <c r="X172" s="70" t="e">
        <f>IF(#REF!&lt;=0,"yes",0)</f>
        <v>#REF!</v>
      </c>
      <c r="Y172" s="70" t="e">
        <f>IF(#REF!&lt;=0,"yes",0)</f>
        <v>#REF!</v>
      </c>
      <c r="Z172" s="70" t="e">
        <f>IF(#REF!&lt;=0,"yes",0)</f>
        <v>#REF!</v>
      </c>
      <c r="AA172" s="70" t="e">
        <f>IF(#REF!&lt;=0,"yes",0)</f>
        <v>#REF!</v>
      </c>
      <c r="AB172" s="70" t="e">
        <f>IF(#REF!&lt;=0,"yes",0)</f>
        <v>#REF!</v>
      </c>
      <c r="AC172" s="70" t="e">
        <f>IF(#REF!&lt;=0,"yes",0)</f>
        <v>#REF!</v>
      </c>
      <c r="AD172" s="70" t="e">
        <f>IF(#REF!&lt;=0,"yes",0)</f>
        <v>#REF!</v>
      </c>
    </row>
    <row r="175" spans="3:31" ht="10.5">
      <c r="G175" s="14"/>
      <c r="I175" s="14"/>
      <c r="J175" s="14"/>
      <c r="K175" s="129"/>
      <c r="L175" s="129"/>
      <c r="M175" s="22"/>
      <c r="N175" s="129"/>
      <c r="O175" s="129"/>
      <c r="P175" s="129"/>
      <c r="Q175" s="129"/>
      <c r="R175" s="129"/>
      <c r="S175" s="129"/>
      <c r="T175" s="129"/>
      <c r="U175" s="129"/>
      <c r="V175" s="129"/>
      <c r="W175" s="129"/>
      <c r="X175" s="129"/>
      <c r="Y175" s="129"/>
      <c r="Z175" s="129"/>
      <c r="AA175" s="129"/>
      <c r="AB175" s="130"/>
      <c r="AC175" s="130"/>
      <c r="AD175" s="52"/>
      <c r="AE175" s="22"/>
    </row>
    <row r="176" spans="3:31" ht="15.5">
      <c r="G176" s="62"/>
      <c r="H176" s="131"/>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row>
    <row r="177" spans="7:30" ht="15.5">
      <c r="G177" s="62"/>
      <c r="H177" s="131"/>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row>
    <row r="178" spans="7:30" ht="15.5">
      <c r="G178" s="133"/>
      <c r="H178" s="131"/>
      <c r="I178" s="52"/>
      <c r="J178" s="52"/>
      <c r="K178" s="132"/>
      <c r="L178" s="132"/>
      <c r="M178" s="132"/>
      <c r="N178" s="132"/>
      <c r="O178" s="132"/>
      <c r="P178" s="132"/>
      <c r="Q178" s="132"/>
      <c r="R178" s="132"/>
      <c r="S178" s="132"/>
      <c r="T178" s="132"/>
      <c r="U178" s="132"/>
      <c r="V178" s="132"/>
      <c r="W178" s="132"/>
      <c r="X178" s="132"/>
      <c r="Y178" s="132"/>
      <c r="Z178" s="132"/>
      <c r="AA178" s="132"/>
      <c r="AB178" s="132"/>
      <c r="AC178" s="132"/>
      <c r="AD178" s="132"/>
    </row>
    <row r="179" spans="7:30" ht="15.5">
      <c r="G179" s="112"/>
      <c r="H179" s="131"/>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row>
    <row r="180" spans="7:30" ht="15.5">
      <c r="G180" s="62"/>
      <c r="H180" s="131"/>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row>
    <row r="181" spans="7:30" ht="15.5">
      <c r="G181" s="62"/>
      <c r="H181" s="131"/>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row>
    <row r="182" spans="7:30">
      <c r="G182" s="62"/>
      <c r="H182" s="64"/>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row>
    <row r="183" spans="7:30" ht="15.5">
      <c r="G183" s="62"/>
      <c r="H183" s="131"/>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row>
    <row r="184" spans="7:30">
      <c r="G184" s="62"/>
      <c r="H184" s="64"/>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row>
    <row r="185" spans="7:30" ht="15.5">
      <c r="G185" s="134"/>
      <c r="H185" s="131"/>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row>
    <row r="186" spans="7:30">
      <c r="G186" s="112"/>
      <c r="H186" s="64"/>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row>
    <row r="187" spans="7:30" ht="10.5">
      <c r="G187" s="50"/>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row>
    <row r="188" spans="7:30" ht="10.5">
      <c r="G188" s="50"/>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row>
    <row r="189" spans="7:30" ht="10.5">
      <c r="G189" s="50"/>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row>
    <row r="190" spans="7:30" ht="10.5">
      <c r="G190" s="50"/>
      <c r="H190" s="132"/>
      <c r="I190" s="52"/>
      <c r="J190" s="52"/>
      <c r="K190" s="52"/>
      <c r="L190" s="52"/>
      <c r="M190" s="52"/>
      <c r="N190" s="52"/>
      <c r="O190" s="52"/>
      <c r="P190" s="52"/>
      <c r="Q190" s="52"/>
      <c r="R190" s="52"/>
      <c r="S190" s="52"/>
      <c r="T190" s="52"/>
      <c r="U190" s="52"/>
      <c r="V190" s="52"/>
      <c r="W190" s="52"/>
      <c r="X190" s="52"/>
      <c r="Y190" s="52"/>
      <c r="Z190" s="52"/>
      <c r="AA190" s="52"/>
      <c r="AB190" s="52"/>
      <c r="AC190" s="52"/>
      <c r="AD190" s="132"/>
    </row>
    <row r="191" spans="7:30" ht="10.5">
      <c r="G191" s="50"/>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row>
    <row r="192" spans="7:30" ht="10.5">
      <c r="G192" s="17"/>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row>
    <row r="193" spans="7:33">
      <c r="G193" s="112"/>
      <c r="H193" s="135"/>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row>
    <row r="194" spans="7:33">
      <c r="G194" s="112"/>
      <c r="H194" s="136"/>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row>
    <row r="195" spans="7:33">
      <c r="G195" s="112"/>
      <c r="H195" s="137"/>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2"/>
    </row>
    <row r="196" spans="7:33">
      <c r="G196" s="112"/>
      <c r="H196" s="136"/>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row>
    <row r="197" spans="7:33">
      <c r="G197" s="112"/>
      <c r="H197" s="137"/>
      <c r="I197" s="138"/>
      <c r="J197" s="138"/>
      <c r="K197" s="139"/>
      <c r="L197" s="139"/>
      <c r="M197" s="139"/>
      <c r="N197" s="139"/>
      <c r="O197" s="139"/>
      <c r="P197" s="139"/>
      <c r="Q197" s="139"/>
      <c r="R197" s="139"/>
      <c r="S197" s="139"/>
      <c r="T197" s="139"/>
      <c r="U197" s="139"/>
      <c r="V197" s="139"/>
      <c r="W197" s="139"/>
      <c r="X197" s="139"/>
      <c r="Y197" s="139"/>
      <c r="Z197" s="139"/>
      <c r="AA197" s="139"/>
      <c r="AB197" s="139"/>
      <c r="AC197" s="139"/>
      <c r="AD197" s="132"/>
    </row>
    <row r="198" spans="7:33" ht="15.5">
      <c r="G198" s="112"/>
      <c r="H198" s="88"/>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32"/>
    </row>
    <row r="199" spans="7:33" ht="15.5">
      <c r="G199" s="112"/>
      <c r="H199" s="141"/>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32"/>
    </row>
    <row r="200" spans="7:33" ht="15.5">
      <c r="G200" s="112"/>
      <c r="H200" s="142"/>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2"/>
    </row>
    <row r="201" spans="7:33" ht="15.5">
      <c r="G201" s="112"/>
      <c r="H201" s="88"/>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32"/>
    </row>
    <row r="202" spans="7:33">
      <c r="G202" s="11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row>
    <row r="203" spans="7:33">
      <c r="G203" s="11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row>
    <row r="204" spans="7:33">
      <c r="G204" s="11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row>
    <row r="205" spans="7:33" ht="10.5">
      <c r="G205" s="50"/>
      <c r="H205" s="132"/>
      <c r="I205" s="25"/>
      <c r="J205" s="25"/>
      <c r="K205" s="25"/>
      <c r="L205" s="25"/>
      <c r="M205" s="25"/>
      <c r="N205" s="25"/>
      <c r="O205" s="25"/>
      <c r="P205" s="25"/>
      <c r="Q205" s="25"/>
      <c r="R205" s="25"/>
      <c r="S205" s="25"/>
      <c r="T205" s="25"/>
      <c r="U205" s="25"/>
      <c r="V205" s="25"/>
      <c r="W205" s="25"/>
      <c r="X205" s="25"/>
      <c r="Y205" s="25"/>
      <c r="Z205" s="25"/>
      <c r="AA205" s="25"/>
      <c r="AB205" s="25"/>
      <c r="AC205" s="25"/>
      <c r="AD205" s="25"/>
    </row>
    <row r="206" spans="7:33" ht="15.5">
      <c r="G206" s="143"/>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32"/>
      <c r="AE206" s="99"/>
      <c r="AF206" s="99"/>
      <c r="AG206" s="99"/>
    </row>
    <row r="207" spans="7:33" ht="15.5">
      <c r="G207" s="112"/>
      <c r="H207" s="137"/>
      <c r="I207" s="145"/>
      <c r="J207" s="145"/>
      <c r="K207" s="146"/>
      <c r="L207" s="146"/>
      <c r="M207" s="146"/>
      <c r="N207" s="146"/>
      <c r="O207" s="146"/>
      <c r="P207" s="146"/>
      <c r="Q207" s="146"/>
      <c r="R207" s="146"/>
      <c r="S207" s="146"/>
      <c r="T207" s="146"/>
      <c r="U207" s="146"/>
      <c r="V207" s="146"/>
      <c r="W207" s="146"/>
      <c r="X207" s="146"/>
      <c r="Y207" s="146"/>
      <c r="Z207" s="146"/>
      <c r="AA207" s="146"/>
      <c r="AB207" s="146"/>
      <c r="AC207" s="146"/>
      <c r="AD207" s="132"/>
    </row>
    <row r="208" spans="7:33" ht="15.5">
      <c r="G208" s="112"/>
      <c r="H208" s="132"/>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8"/>
    </row>
    <row r="209" spans="7:30">
      <c r="G209" s="112"/>
      <c r="H209" s="132"/>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row>
    <row r="210" spans="7:30" ht="15.5">
      <c r="G210" s="149"/>
      <c r="H210" s="150"/>
      <c r="I210" s="25"/>
      <c r="J210" s="25"/>
      <c r="K210" s="135"/>
      <c r="L210" s="25"/>
      <c r="M210" s="25"/>
      <c r="N210" s="25"/>
      <c r="O210" s="25"/>
      <c r="P210" s="25"/>
      <c r="Q210" s="25"/>
      <c r="R210" s="25"/>
      <c r="S210" s="25"/>
      <c r="T210" s="25"/>
      <c r="U210" s="25"/>
      <c r="V210" s="25"/>
      <c r="W210" s="25"/>
      <c r="X210" s="25"/>
      <c r="Y210" s="25"/>
      <c r="Z210" s="25"/>
      <c r="AA210" s="25"/>
      <c r="AB210" s="25"/>
      <c r="AC210" s="25"/>
      <c r="AD210" s="25"/>
    </row>
    <row r="211" spans="7:30" ht="15.5">
      <c r="G211" s="55"/>
      <c r="H211" s="142"/>
      <c r="I211" s="25"/>
      <c r="J211" s="25"/>
      <c r="K211" s="25"/>
      <c r="L211" s="25"/>
      <c r="M211" s="25"/>
      <c r="N211" s="25"/>
      <c r="O211" s="25"/>
      <c r="P211" s="25"/>
      <c r="Q211" s="25"/>
      <c r="R211" s="25"/>
      <c r="S211" s="25"/>
      <c r="T211" s="25"/>
      <c r="U211" s="25"/>
      <c r="V211" s="25"/>
      <c r="W211" s="25"/>
      <c r="X211" s="25"/>
      <c r="Y211" s="25"/>
      <c r="Z211" s="25"/>
      <c r="AA211" s="25"/>
      <c r="AB211" s="25"/>
      <c r="AC211" s="25"/>
      <c r="AD211" s="25"/>
    </row>
    <row r="212" spans="7:30" ht="15.5">
      <c r="G212" s="55"/>
      <c r="H212" s="142"/>
      <c r="I212" s="25"/>
      <c r="J212" s="25"/>
      <c r="K212" s="25"/>
      <c r="L212" s="25"/>
      <c r="M212" s="25"/>
      <c r="N212" s="25"/>
      <c r="O212" s="25"/>
      <c r="P212" s="25"/>
      <c r="Q212" s="25"/>
      <c r="R212" s="25"/>
      <c r="S212" s="25"/>
      <c r="T212" s="25"/>
      <c r="U212" s="25"/>
      <c r="V212" s="25"/>
      <c r="W212" s="25"/>
      <c r="X212" s="25"/>
      <c r="Y212" s="25"/>
      <c r="Z212" s="25"/>
      <c r="AA212" s="25"/>
      <c r="AB212" s="25"/>
      <c r="AC212" s="25"/>
      <c r="AD212" s="25"/>
    </row>
    <row r="213" spans="7:30" ht="15.5">
      <c r="G213" s="55"/>
      <c r="H213" s="142"/>
      <c r="I213" s="25"/>
      <c r="J213" s="25"/>
      <c r="K213" s="25"/>
      <c r="L213" s="25"/>
      <c r="M213" s="25"/>
      <c r="N213" s="25"/>
      <c r="O213" s="25"/>
      <c r="P213" s="25"/>
      <c r="Q213" s="25"/>
      <c r="R213" s="25"/>
      <c r="S213" s="25"/>
      <c r="T213" s="25"/>
      <c r="U213" s="25"/>
      <c r="V213" s="25"/>
      <c r="W213" s="25"/>
      <c r="X213" s="25"/>
      <c r="Y213" s="25"/>
      <c r="Z213" s="25"/>
      <c r="AA213" s="25"/>
      <c r="AB213" s="25"/>
      <c r="AC213" s="25"/>
      <c r="AD213" s="25"/>
    </row>
    <row r="214" spans="7:30">
      <c r="G214" s="5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row>
    <row r="215" spans="7:30">
      <c r="G215" s="55"/>
      <c r="H215" s="137"/>
      <c r="I215" s="25"/>
      <c r="J215" s="25"/>
      <c r="K215" s="25"/>
      <c r="L215" s="25"/>
      <c r="M215" s="25"/>
      <c r="N215" s="25"/>
      <c r="O215" s="25"/>
      <c r="P215" s="25"/>
      <c r="Q215" s="25"/>
      <c r="R215" s="25"/>
      <c r="S215" s="25"/>
      <c r="T215" s="25"/>
      <c r="U215" s="25"/>
      <c r="V215" s="25"/>
      <c r="W215" s="25"/>
      <c r="X215" s="25"/>
      <c r="Y215" s="25"/>
      <c r="Z215" s="25"/>
      <c r="AA215" s="25"/>
      <c r="AB215" s="25"/>
      <c r="AC215" s="25"/>
      <c r="AD215" s="25"/>
    </row>
    <row r="216" spans="7:30">
      <c r="G216" s="151"/>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row>
    <row r="217" spans="7:30">
      <c r="G217" s="5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row>
    <row r="218" spans="7:30">
      <c r="G218" s="5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row>
    <row r="219" spans="7:30">
      <c r="G219" s="5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row>
    <row r="220" spans="7:30">
      <c r="G220" s="5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row>
    <row r="221" spans="7:30">
      <c r="G221" s="55"/>
      <c r="H221" s="152"/>
      <c r="I221" s="25"/>
      <c r="J221" s="25"/>
      <c r="K221" s="25"/>
      <c r="L221" s="25"/>
      <c r="M221" s="25"/>
      <c r="N221" s="25"/>
      <c r="O221" s="25"/>
      <c r="P221" s="25"/>
      <c r="Q221" s="25"/>
      <c r="R221" s="25"/>
      <c r="S221" s="25"/>
      <c r="T221" s="25"/>
      <c r="U221" s="25"/>
      <c r="V221" s="25"/>
      <c r="W221" s="25"/>
      <c r="X221" s="25"/>
      <c r="Y221" s="25"/>
      <c r="Z221" s="25"/>
      <c r="AA221" s="25"/>
      <c r="AB221" s="25"/>
      <c r="AC221" s="25"/>
      <c r="AD221" s="25"/>
    </row>
    <row r="222" spans="7:30">
      <c r="G222" s="149"/>
      <c r="H222" s="151"/>
      <c r="I222" s="55"/>
      <c r="J222" s="55"/>
      <c r="K222" s="25"/>
      <c r="L222" s="25"/>
      <c r="M222" s="25"/>
      <c r="N222" s="25"/>
      <c r="O222" s="25"/>
      <c r="P222" s="25"/>
      <c r="Q222" s="25"/>
      <c r="R222" s="25"/>
      <c r="S222" s="25"/>
      <c r="T222" s="25"/>
      <c r="U222" s="25"/>
      <c r="V222" s="25"/>
      <c r="W222" s="25"/>
      <c r="X222" s="25"/>
      <c r="Y222" s="25"/>
      <c r="Z222" s="25"/>
      <c r="AA222" s="25"/>
      <c r="AB222" s="25"/>
      <c r="AC222" s="25"/>
      <c r="AD222" s="25"/>
    </row>
    <row r="223" spans="7:30">
      <c r="G223" s="149"/>
      <c r="H223" s="151"/>
      <c r="I223" s="55"/>
      <c r="J223" s="55"/>
      <c r="K223" s="25"/>
      <c r="L223" s="25"/>
      <c r="M223" s="25"/>
      <c r="N223" s="25"/>
      <c r="O223" s="25"/>
      <c r="P223" s="25"/>
      <c r="Q223" s="25"/>
      <c r="R223" s="25"/>
      <c r="S223" s="25"/>
      <c r="T223" s="25"/>
      <c r="U223" s="25"/>
      <c r="V223" s="25"/>
      <c r="W223" s="25"/>
      <c r="X223" s="25"/>
      <c r="Y223" s="25"/>
      <c r="Z223" s="25"/>
      <c r="AA223" s="25"/>
      <c r="AB223" s="25"/>
      <c r="AC223" s="25"/>
      <c r="AD223" s="25"/>
    </row>
    <row r="224" spans="7:30">
      <c r="G224" s="149"/>
      <c r="H224" s="153"/>
      <c r="I224" s="25"/>
      <c r="J224" s="25"/>
      <c r="K224" s="25"/>
      <c r="L224" s="25"/>
      <c r="M224" s="25"/>
      <c r="N224" s="25"/>
      <c r="O224" s="25"/>
      <c r="P224" s="25"/>
      <c r="Q224" s="25"/>
      <c r="R224" s="25"/>
      <c r="S224" s="25"/>
      <c r="T224" s="25"/>
      <c r="U224" s="25"/>
      <c r="V224" s="25"/>
      <c r="W224" s="25"/>
      <c r="X224" s="25"/>
      <c r="Y224" s="25"/>
      <c r="Z224" s="25"/>
      <c r="AA224" s="25"/>
      <c r="AB224" s="25"/>
      <c r="AC224" s="25"/>
      <c r="AD224" s="25"/>
    </row>
    <row r="225" spans="7:33">
      <c r="G225" s="149"/>
      <c r="H225" s="152"/>
      <c r="I225" s="55"/>
      <c r="J225" s="55"/>
      <c r="K225" s="25"/>
      <c r="L225" s="25"/>
      <c r="M225" s="25"/>
      <c r="N225" s="25"/>
      <c r="O225" s="25"/>
      <c r="P225" s="25"/>
      <c r="Q225" s="25"/>
      <c r="R225" s="25"/>
      <c r="S225" s="25"/>
      <c r="T225" s="25"/>
      <c r="U225" s="25"/>
      <c r="V225" s="25"/>
      <c r="W225" s="25"/>
      <c r="X225" s="25"/>
      <c r="Y225" s="25"/>
      <c r="Z225" s="25"/>
      <c r="AA225" s="25"/>
      <c r="AB225" s="25"/>
      <c r="AC225" s="25"/>
      <c r="AD225" s="25"/>
    </row>
    <row r="226" spans="7:33">
      <c r="G226" s="112"/>
      <c r="H226" s="152"/>
      <c r="I226" s="25"/>
      <c r="J226" s="25"/>
      <c r="K226" s="25"/>
      <c r="L226" s="25"/>
      <c r="M226" s="25"/>
      <c r="N226" s="25"/>
      <c r="O226" s="25"/>
      <c r="P226" s="25"/>
      <c r="Q226" s="25"/>
      <c r="R226" s="25"/>
      <c r="S226" s="25"/>
      <c r="T226" s="25"/>
      <c r="U226" s="25"/>
      <c r="V226" s="25"/>
      <c r="W226" s="25"/>
      <c r="X226" s="25"/>
      <c r="Y226" s="25"/>
      <c r="Z226" s="25"/>
      <c r="AA226" s="25"/>
      <c r="AB226" s="25"/>
      <c r="AC226" s="25"/>
      <c r="AD226" s="25"/>
    </row>
    <row r="227" spans="7:33">
      <c r="G227" s="149"/>
      <c r="H227" s="152"/>
      <c r="I227" s="25"/>
      <c r="J227" s="25"/>
      <c r="K227" s="25"/>
      <c r="L227" s="25"/>
      <c r="M227" s="25"/>
      <c r="N227" s="25"/>
      <c r="O227" s="25"/>
      <c r="P227" s="25"/>
      <c r="Q227" s="25"/>
      <c r="R227" s="25"/>
      <c r="S227" s="25"/>
      <c r="T227" s="25"/>
      <c r="U227" s="25"/>
      <c r="V227" s="25"/>
      <c r="W227" s="25"/>
      <c r="X227" s="25"/>
      <c r="Y227" s="25"/>
      <c r="Z227" s="25"/>
      <c r="AA227" s="25"/>
      <c r="AB227" s="25"/>
      <c r="AC227" s="25"/>
      <c r="AD227" s="25"/>
    </row>
    <row r="228" spans="7:33">
      <c r="G228" s="149"/>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row>
    <row r="229" spans="7:33">
      <c r="G229" s="149"/>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row>
    <row r="230" spans="7:33">
      <c r="G230" s="55"/>
      <c r="H230" s="55"/>
      <c r="I230" s="55"/>
      <c r="J230" s="55"/>
      <c r="K230" s="55"/>
      <c r="L230" s="55"/>
      <c r="M230" s="55"/>
      <c r="N230" s="55"/>
      <c r="O230" s="55"/>
      <c r="P230" s="55"/>
      <c r="Q230" s="55"/>
      <c r="R230" s="55"/>
      <c r="S230" s="55"/>
      <c r="T230" s="55"/>
      <c r="U230" s="55"/>
      <c r="V230" s="55"/>
      <c r="W230" s="55"/>
      <c r="X230" s="55"/>
      <c r="Y230" s="55"/>
      <c r="Z230" s="55"/>
      <c r="AA230" s="55"/>
      <c r="AB230" s="55"/>
      <c r="AC230" s="25"/>
      <c r="AD230" s="25"/>
    </row>
    <row r="231" spans="7:33">
      <c r="G231" s="55"/>
      <c r="H231" s="55"/>
      <c r="I231" s="55"/>
      <c r="J231" s="55"/>
      <c r="K231" s="55"/>
      <c r="L231" s="55"/>
      <c r="M231" s="55"/>
      <c r="N231" s="55"/>
      <c r="O231" s="55"/>
      <c r="P231" s="55"/>
      <c r="Q231" s="55"/>
      <c r="R231" s="55"/>
      <c r="S231" s="55"/>
      <c r="T231" s="55"/>
      <c r="U231" s="55"/>
      <c r="V231" s="55"/>
      <c r="W231" s="55"/>
      <c r="X231" s="55"/>
      <c r="Y231" s="55"/>
      <c r="Z231" s="55"/>
      <c r="AA231" s="55"/>
      <c r="AB231" s="55"/>
      <c r="AC231" s="25"/>
      <c r="AD231" s="25"/>
    </row>
    <row r="232" spans="7:33">
      <c r="G232" s="55"/>
      <c r="H232" s="55"/>
      <c r="I232" s="55"/>
      <c r="J232" s="55"/>
      <c r="K232" s="55"/>
      <c r="L232" s="55"/>
      <c r="M232" s="55"/>
      <c r="N232" s="55"/>
      <c r="O232" s="55"/>
      <c r="P232" s="55"/>
      <c r="Q232" s="55"/>
      <c r="R232" s="55"/>
      <c r="S232" s="55"/>
      <c r="T232" s="55"/>
      <c r="U232" s="55"/>
      <c r="V232" s="55"/>
      <c r="W232" s="55"/>
      <c r="X232" s="55"/>
      <c r="Y232" s="55"/>
      <c r="Z232" s="55"/>
      <c r="AA232" s="55"/>
      <c r="AB232" s="55"/>
      <c r="AC232" s="25"/>
      <c r="AD232" s="25"/>
    </row>
    <row r="233" spans="7:33">
      <c r="G233" s="22"/>
      <c r="H233" s="22"/>
      <c r="I233" s="108"/>
      <c r="J233" s="108"/>
      <c r="K233" s="22"/>
      <c r="L233" s="22"/>
      <c r="M233" s="22"/>
      <c r="N233" s="22"/>
      <c r="O233" s="22"/>
      <c r="P233" s="22"/>
      <c r="Q233" s="22"/>
      <c r="R233" s="22"/>
      <c r="S233" s="22"/>
      <c r="T233" s="22"/>
      <c r="U233" s="22"/>
      <c r="V233" s="22"/>
      <c r="W233" s="22"/>
      <c r="X233" s="22"/>
      <c r="Y233" s="22"/>
      <c r="Z233" s="22"/>
      <c r="AA233" s="22"/>
      <c r="AB233" s="22"/>
    </row>
    <row r="234" spans="7:33" ht="14.5">
      <c r="G234" s="22"/>
      <c r="H234" s="22"/>
      <c r="I234" s="108"/>
      <c r="J234" s="108"/>
      <c r="K234" s="22"/>
      <c r="L234" s="22"/>
      <c r="M234" s="22"/>
      <c r="N234" s="22"/>
      <c r="O234" s="22"/>
      <c r="P234" s="22"/>
      <c r="Q234" s="22"/>
      <c r="R234" s="22"/>
      <c r="S234" s="22"/>
      <c r="T234" s="22"/>
      <c r="U234" s="22"/>
      <c r="V234" s="22"/>
      <c r="W234" s="22"/>
      <c r="X234" s="22"/>
      <c r="Y234" s="22"/>
      <c r="Z234" s="22"/>
      <c r="AA234" s="22"/>
      <c r="AB234" s="22"/>
      <c r="AC234" s="128"/>
      <c r="AD234" s="128"/>
      <c r="AE234" s="128"/>
      <c r="AF234" s="22"/>
      <c r="AG234" s="128"/>
    </row>
    <row r="235" spans="7:33">
      <c r="G235" s="154"/>
      <c r="H235" s="22"/>
      <c r="I235" s="108"/>
      <c r="J235" s="108"/>
      <c r="K235" s="22"/>
      <c r="L235" s="22"/>
      <c r="M235" s="22"/>
      <c r="N235" s="22"/>
      <c r="O235" s="22"/>
      <c r="P235" s="22"/>
      <c r="Q235" s="22"/>
      <c r="R235" s="22"/>
      <c r="S235" s="22"/>
      <c r="T235" s="22"/>
      <c r="U235" s="22"/>
      <c r="V235" s="22"/>
      <c r="W235" s="22"/>
      <c r="X235" s="22"/>
      <c r="Y235" s="22"/>
      <c r="Z235" s="22"/>
      <c r="AA235" s="22"/>
      <c r="AB235" s="22"/>
    </row>
    <row r="236" spans="7:33">
      <c r="G236" s="154"/>
      <c r="H236" s="22"/>
      <c r="I236" s="108"/>
      <c r="J236" s="108"/>
      <c r="K236" s="22"/>
      <c r="L236" s="22"/>
      <c r="M236" s="22"/>
      <c r="N236" s="22"/>
      <c r="O236" s="22"/>
      <c r="P236" s="22"/>
      <c r="Q236" s="22"/>
      <c r="R236" s="22"/>
      <c r="S236" s="22"/>
      <c r="T236" s="22"/>
      <c r="U236" s="22"/>
      <c r="V236" s="22"/>
      <c r="W236" s="22"/>
      <c r="X236" s="22"/>
      <c r="Y236" s="22"/>
      <c r="Z236" s="22"/>
      <c r="AA236" s="22"/>
      <c r="AB236" s="22"/>
    </row>
    <row r="237" spans="7:33" ht="14.5">
      <c r="G237" s="154"/>
      <c r="H237" s="155"/>
      <c r="I237" s="156"/>
      <c r="J237" s="156"/>
      <c r="K237" s="128"/>
      <c r="L237" s="128"/>
      <c r="M237" s="157"/>
      <c r="N237" s="128"/>
      <c r="O237" s="128"/>
      <c r="P237" s="128"/>
      <c r="Q237" s="128"/>
      <c r="R237" s="128"/>
      <c r="S237" s="128"/>
      <c r="T237" s="128"/>
      <c r="U237" s="128"/>
      <c r="V237" s="128"/>
      <c r="W237" s="128"/>
      <c r="X237" s="128"/>
      <c r="Y237" s="128"/>
      <c r="Z237" s="128"/>
      <c r="AA237" s="128"/>
      <c r="AB237" s="128"/>
      <c r="AC237" s="128"/>
      <c r="AD237" s="128"/>
      <c r="AE237" s="128"/>
      <c r="AF237" s="128"/>
      <c r="AG237" s="128"/>
    </row>
    <row r="238" spans="7:33" ht="14.5">
      <c r="G238" s="128"/>
      <c r="H238" s="128"/>
      <c r="I238" s="156"/>
      <c r="J238" s="156"/>
      <c r="K238" s="128"/>
      <c r="L238" s="128"/>
      <c r="M238" s="157"/>
      <c r="N238" s="128"/>
      <c r="O238" s="128"/>
      <c r="P238" s="128"/>
      <c r="Q238" s="128"/>
      <c r="R238" s="128"/>
      <c r="S238" s="128"/>
      <c r="T238" s="128"/>
      <c r="U238" s="128"/>
      <c r="V238" s="128"/>
      <c r="W238" s="128"/>
      <c r="X238" s="128"/>
      <c r="Y238" s="128"/>
      <c r="Z238" s="128"/>
      <c r="AA238" s="128"/>
      <c r="AB238" s="128"/>
      <c r="AC238" s="128"/>
      <c r="AD238" s="128"/>
      <c r="AE238" s="128"/>
      <c r="AF238" s="128"/>
      <c r="AG238" s="128"/>
    </row>
  </sheetData>
  <mergeCells count="10">
    <mergeCell ref="AE6:AF6"/>
    <mergeCell ref="C75:N75"/>
    <mergeCell ref="C80:F80"/>
    <mergeCell ref="AF62:AI62"/>
    <mergeCell ref="C81:F81"/>
    <mergeCell ref="D129:G129"/>
    <mergeCell ref="G1:AD1"/>
    <mergeCell ref="L2:Q2"/>
    <mergeCell ref="R2:U2"/>
    <mergeCell ref="C78:F78"/>
  </mergeCells>
  <conditionalFormatting sqref="AE11 AC65 AE17:AE19 AE21 AE23">
    <cfRule type="cellIs" dxfId="0" priority="2" operator="notEqual">
      <formula>0</formula>
    </cfRule>
  </conditionalFormatting>
  <dataValidations count="5">
    <dataValidation type="decimal" operator="lessThanOrEqual" allowBlank="1" showInputMessage="1" showErrorMessage="1" sqref="H187:AC189 I91:I93 L91:L93 I11:AC11 H82:I86 AD30:AD39 AD70 AD62 AD60 AD64:AD67 H65:I66 H41 I41:I58 H47:H58 AD53 AD50:AD51 AD43 AD46 AD57 I71:I73 J78 H77:H79 I77 H76:J76 J74 H73:H74 H208:H209 H202:H203 AD206:AD207 H190:AD190 AD197:AD203 AD195">
      <formula1>10000000</formula1>
    </dataValidation>
    <dataValidation type="decimal" allowBlank="1" showInputMessage="1" sqref="N175:AC175 H17:AC18 AD5 I14:I15 I12 H16:I16 I131 I10 AD7:AD8 I5 I7:I8 H14 H7:H12 J5:AC8 I33 J19:AC20 H19:H20 AD25 H32:I32 J24:J26 J27:AC30 H33:H34 K32:AC32 AJ64 H67:I69 H37:I39 J37:AC38 AD61 AD59 J46:AC68 H59:I64 J41:AC44 J33:AC34 AD29 H24:I30 J71:AC71 K23:AC26 H71:H72 I185:AC186 I191:AC204 K175:L175 I176:AC183 H204:H207 H176:H186 H191:H201 J12:AC15 AE20 AE22">
      <formula1>-10000000</formula1>
      <formula2>10000000</formula2>
    </dataValidation>
    <dataValidation type="decimal" operator="lessThanOrEqual" allowBlank="1" showInputMessage="1" showErrorMessage="1" error="Please enter a number greater than zero." sqref="AD175:AD189 AD9:AD24 AD26:AD28 AD68 AD63 AD54:AD56 AD52 AD44:AD45 AD47 AD196 AD191:AD194 AD204">
      <formula1>10000000</formula1>
    </dataValidation>
    <dataValidation operator="greaterThanOrEqual" allowBlank="1" showInputMessage="1" showErrorMessage="1" error="Please enter a number greater than zero." sqref="AD6 I6"/>
    <dataValidation type="date" allowBlank="1" showInputMessage="1" showErrorMessage="1" error="Please enter a valid date." sqref="U3 R2">
      <formula1>1</formula1>
      <formula2>73415</formula2>
    </dataValidation>
  </dataValidations>
  <hyperlinks>
    <hyperlink ref="J136" r:id="rId1"/>
    <hyperlink ref="I137" r:id="rId2" display="On intergral features and long life assets, see here."/>
  </hyperlinks>
  <pageMargins left="0" right="0" top="0.5" bottom="0.25" header="0" footer="0"/>
  <pageSetup scale="49" fitToHeight="0" orientation="landscape" r:id="rId3"/>
  <headerFooter alignWithMargins="0">
    <oddHeader>&amp;L&amp;F -  &amp;A&amp;RPage &amp;P of &amp;N</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5"/>
  <sheetData>
    <row r="1" spans="1:1">
      <c r="A1" s="160" t="s">
        <v>119</v>
      </c>
    </row>
    <row r="2" spans="1:1">
      <c r="A2" s="161" t="s">
        <v>120</v>
      </c>
    </row>
    <row r="3" spans="1:1">
      <c r="A3" s="160" t="s">
        <v>121</v>
      </c>
    </row>
    <row r="4" spans="1:1">
      <c r="A4" s="160"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32"/>
  <sheetViews>
    <sheetView tabSelected="1" workbookViewId="0">
      <selection activeCell="T26" sqref="T26"/>
    </sheetView>
  </sheetViews>
  <sheetFormatPr defaultRowHeight="14.5"/>
  <cols>
    <col min="1" max="1" width="2.83203125" style="205" customWidth="1"/>
    <col min="2" max="5" width="1.83203125" style="205" customWidth="1"/>
    <col min="6" max="6" width="8.4140625" style="205" customWidth="1"/>
    <col min="7" max="8" width="9.9140625" style="205" customWidth="1"/>
    <col min="9" max="9" width="13" style="205" customWidth="1"/>
    <col min="10" max="10" width="9.83203125" style="205" bestFit="1" customWidth="1"/>
    <col min="11" max="19" width="8.6640625" style="205"/>
    <col min="20" max="20" width="8.83203125" style="205" bestFit="1" customWidth="1"/>
    <col min="21" max="16384" width="8.6640625" style="205"/>
  </cols>
  <sheetData>
    <row r="1" spans="1:21">
      <c r="D1" s="205" t="s">
        <v>34</v>
      </c>
      <c r="F1" s="206"/>
      <c r="G1" s="205" t="s">
        <v>36</v>
      </c>
      <c r="J1" s="207"/>
      <c r="K1" s="282" t="s">
        <v>176</v>
      </c>
    </row>
    <row r="2" spans="1:21">
      <c r="A2" s="208" t="s">
        <v>177</v>
      </c>
      <c r="B2" s="208"/>
      <c r="C2" s="208"/>
      <c r="D2" s="208"/>
      <c r="E2" s="208"/>
      <c r="F2" s="208"/>
      <c r="G2" s="208"/>
      <c r="H2" s="208"/>
      <c r="I2" s="208"/>
      <c r="J2" s="208"/>
      <c r="K2" s="208"/>
      <c r="L2" s="208"/>
      <c r="M2" s="208"/>
      <c r="N2" s="208"/>
      <c r="O2" s="208"/>
      <c r="P2" s="208"/>
      <c r="Q2" s="208"/>
      <c r="R2" s="208"/>
      <c r="S2" s="208"/>
      <c r="T2" s="208"/>
      <c r="U2" s="208"/>
    </row>
    <row r="3" spans="1:21" ht="24" customHeight="1">
      <c r="A3" s="208"/>
      <c r="B3" s="208"/>
      <c r="C3" s="208"/>
      <c r="D3" s="208"/>
      <c r="E3" s="208"/>
      <c r="F3" s="209" t="s">
        <v>170</v>
      </c>
      <c r="G3" s="319" t="s">
        <v>178</v>
      </c>
      <c r="H3" s="319"/>
      <c r="I3" s="319"/>
      <c r="J3" s="319"/>
      <c r="K3" s="209" t="s">
        <v>179</v>
      </c>
      <c r="L3" s="320" t="s">
        <v>180</v>
      </c>
      <c r="M3" s="320"/>
      <c r="N3" s="320"/>
      <c r="O3" s="320"/>
      <c r="P3" s="210"/>
      <c r="Q3" s="208"/>
    </row>
    <row r="4" spans="1:21" ht="31" customHeight="1">
      <c r="A4" s="208"/>
      <c r="B4" s="208"/>
      <c r="C4" s="208"/>
      <c r="D4" s="208"/>
      <c r="E4" s="208"/>
      <c r="F4" s="209"/>
      <c r="G4" s="209" t="s">
        <v>181</v>
      </c>
      <c r="H4" s="209" t="s">
        <v>182</v>
      </c>
      <c r="I4" s="209" t="s">
        <v>183</v>
      </c>
      <c r="J4" s="211" t="s">
        <v>184</v>
      </c>
      <c r="K4" s="209" t="s">
        <v>185</v>
      </c>
      <c r="L4" s="212" t="s">
        <v>186</v>
      </c>
      <c r="M4" s="213" t="s">
        <v>187</v>
      </c>
      <c r="N4" s="211" t="s">
        <v>188</v>
      </c>
      <c r="O4" s="211" t="s">
        <v>189</v>
      </c>
      <c r="P4" s="210"/>
      <c r="Q4" s="208"/>
    </row>
    <row r="5" spans="1:21" ht="15" customHeight="1">
      <c r="A5" s="208"/>
      <c r="B5" s="208"/>
      <c r="C5" s="208"/>
      <c r="D5" s="208"/>
      <c r="E5" s="208"/>
      <c r="F5" s="214"/>
      <c r="G5" s="215" t="s">
        <v>54</v>
      </c>
      <c r="H5" s="215" t="s">
        <v>54</v>
      </c>
      <c r="I5" s="215" t="s">
        <v>54</v>
      </c>
      <c r="J5" s="215" t="s">
        <v>54</v>
      </c>
      <c r="K5" s="215" t="s">
        <v>46</v>
      </c>
      <c r="L5" s="215" t="s">
        <v>46</v>
      </c>
      <c r="M5" s="215" t="s">
        <v>46</v>
      </c>
      <c r="N5" s="215" t="s">
        <v>46</v>
      </c>
      <c r="O5" s="215" t="s">
        <v>46</v>
      </c>
      <c r="P5" s="210"/>
      <c r="Q5" s="208"/>
    </row>
    <row r="6" spans="1:21" ht="21.5" customHeight="1">
      <c r="A6" s="208"/>
      <c r="B6" s="208"/>
      <c r="C6" s="208"/>
      <c r="D6" s="208"/>
      <c r="E6" s="208"/>
      <c r="F6" s="214" t="s">
        <v>173</v>
      </c>
      <c r="G6" s="287">
        <v>137500</v>
      </c>
      <c r="H6" s="288">
        <f>G6 * $I$19</f>
        <v>124999.99875</v>
      </c>
      <c r="I6" s="276">
        <v>13000</v>
      </c>
      <c r="J6" s="216">
        <f>H6 - I6</f>
        <v>111999.99875</v>
      </c>
      <c r="K6" s="217">
        <f>G6 * I$21 / 100</f>
        <v>6600</v>
      </c>
      <c r="L6" s="217">
        <f>J6 * I$20 / 100</f>
        <v>3315.199963</v>
      </c>
      <c r="M6" s="212">
        <f>J6 * $I$22 / 100</f>
        <v>5599.9999375000007</v>
      </c>
      <c r="N6" s="217">
        <f>L6 + M6</f>
        <v>8915.1999004999998</v>
      </c>
      <c r="O6" s="217">
        <f>N6 - K6</f>
        <v>2315.1999004999998</v>
      </c>
      <c r="P6" s="210"/>
      <c r="Q6" s="208"/>
    </row>
    <row r="7" spans="1:21" ht="20.5" customHeight="1">
      <c r="A7" s="208"/>
      <c r="B7" s="208"/>
      <c r="C7" s="208"/>
      <c r="D7" s="208"/>
      <c r="E7" s="208"/>
      <c r="F7" s="214" t="s">
        <v>174</v>
      </c>
      <c r="G7" s="287">
        <v>46200</v>
      </c>
      <c r="H7" s="288">
        <f>G7 * $I$19</f>
        <v>41999.999580000003</v>
      </c>
      <c r="I7" s="277">
        <v>7000</v>
      </c>
      <c r="J7" s="216">
        <f>H7 - I7</f>
        <v>34999.999580000003</v>
      </c>
      <c r="K7" s="217">
        <f>G7 * I$21 / 100</f>
        <v>2217.6</v>
      </c>
      <c r="L7" s="217">
        <f>J7 * I$20 / 100</f>
        <v>1035.9999875680001</v>
      </c>
      <c r="M7" s="212">
        <f>J7 * $I$22 / 100</f>
        <v>1749.9999790000002</v>
      </c>
      <c r="N7" s="217">
        <f>L7 + M7</f>
        <v>2785.9999665680002</v>
      </c>
      <c r="O7" s="217">
        <f>N7 - K7</f>
        <v>568.39996656800031</v>
      </c>
      <c r="P7" s="210"/>
      <c r="Q7" s="208"/>
    </row>
    <row r="8" spans="1:21" ht="20.5" customHeight="1">
      <c r="A8" s="208"/>
      <c r="B8" s="208"/>
      <c r="C8" s="208"/>
      <c r="D8" s="208"/>
      <c r="E8" s="208"/>
      <c r="F8" s="214" t="s">
        <v>23</v>
      </c>
      <c r="G8" s="289">
        <f>SUM(G6:G7)</f>
        <v>183700</v>
      </c>
      <c r="H8" s="289">
        <f t="shared" ref="H8:O8" si="0">SUM(H6:H7)</f>
        <v>166999.99833</v>
      </c>
      <c r="I8" s="289">
        <f t="shared" si="0"/>
        <v>20000</v>
      </c>
      <c r="J8" s="289">
        <f>SUM(J6:J7)</f>
        <v>146999.99833</v>
      </c>
      <c r="K8" s="227">
        <f>SUM(K6:K7)</f>
        <v>8817.6</v>
      </c>
      <c r="L8" s="227">
        <f t="shared" si="0"/>
        <v>4351.1999505679996</v>
      </c>
      <c r="M8" s="227">
        <f t="shared" si="0"/>
        <v>7349.9999165000008</v>
      </c>
      <c r="N8" s="227">
        <f t="shared" si="0"/>
        <v>11701.199867068</v>
      </c>
      <c r="O8" s="227">
        <f t="shared" si="0"/>
        <v>2883.5998670680001</v>
      </c>
      <c r="P8" s="210"/>
      <c r="Q8" s="208"/>
    </row>
    <row r="9" spans="1:21" ht="20.5" customHeight="1">
      <c r="A9" s="208" t="s">
        <v>51</v>
      </c>
      <c r="B9" s="208" t="s">
        <v>190</v>
      </c>
      <c r="C9" s="208"/>
      <c r="D9" s="208"/>
      <c r="E9" s="208"/>
      <c r="F9" s="208"/>
      <c r="G9" s="208"/>
      <c r="H9" s="208"/>
      <c r="I9" s="208"/>
      <c r="J9" s="208"/>
      <c r="L9" s="208"/>
      <c r="M9" s="208"/>
      <c r="N9" s="208"/>
      <c r="O9" s="208"/>
      <c r="P9" s="208"/>
    </row>
    <row r="10" spans="1:21" ht="20.5" customHeight="1">
      <c r="A10" s="208"/>
      <c r="B10" s="208">
        <v>1</v>
      </c>
      <c r="C10" s="208" t="s">
        <v>191</v>
      </c>
      <c r="D10" s="208"/>
      <c r="E10" s="208"/>
      <c r="F10" s="208"/>
      <c r="G10" s="208"/>
      <c r="H10" s="208"/>
      <c r="I10" s="208"/>
      <c r="J10" s="208"/>
      <c r="K10" s="208"/>
      <c r="L10" s="208"/>
      <c r="M10" s="208"/>
      <c r="N10" s="208"/>
      <c r="O10" s="208"/>
      <c r="P10" s="208"/>
    </row>
    <row r="11" spans="1:21" ht="25.5" customHeight="1">
      <c r="A11" s="208"/>
      <c r="B11" s="208"/>
      <c r="C11" s="208"/>
      <c r="D11" s="208"/>
      <c r="E11" s="208"/>
      <c r="F11" s="218"/>
      <c r="I11" s="283" t="s">
        <v>286</v>
      </c>
      <c r="J11" s="213" t="s">
        <v>192</v>
      </c>
      <c r="K11" s="209" t="s">
        <v>172</v>
      </c>
      <c r="L11" s="219" t="s">
        <v>193</v>
      </c>
      <c r="M11" s="219" t="s">
        <v>23</v>
      </c>
      <c r="N11" s="208"/>
      <c r="O11" s="208"/>
      <c r="P11" s="208"/>
    </row>
    <row r="12" spans="1:21" ht="15.5" customHeight="1">
      <c r="A12" s="208"/>
      <c r="B12" s="208"/>
      <c r="C12" s="208"/>
      <c r="D12" s="208"/>
      <c r="E12" s="208"/>
      <c r="F12" s="208"/>
      <c r="I12" s="283" t="s">
        <v>285</v>
      </c>
      <c r="J12" s="215" t="s">
        <v>46</v>
      </c>
      <c r="K12" s="215" t="s">
        <v>46</v>
      </c>
      <c r="L12" s="215" t="s">
        <v>46</v>
      </c>
      <c r="N12" s="208"/>
      <c r="O12" s="208"/>
      <c r="P12" s="208"/>
    </row>
    <row r="13" spans="1:21">
      <c r="A13" s="208"/>
      <c r="B13" s="208"/>
      <c r="C13" s="208"/>
      <c r="D13" s="208"/>
      <c r="E13" s="208"/>
      <c r="F13" s="208" t="s">
        <v>173</v>
      </c>
      <c r="H13" s="284"/>
      <c r="I13" s="285">
        <v>127</v>
      </c>
      <c r="J13" s="278">
        <v>70000</v>
      </c>
      <c r="K13" s="278">
        <v>7000</v>
      </c>
      <c r="L13" s="279">
        <v>15000</v>
      </c>
      <c r="M13" s="228">
        <f>SUM(J13:L13)</f>
        <v>92000</v>
      </c>
      <c r="N13" s="220"/>
      <c r="O13" s="208"/>
      <c r="P13" s="208"/>
    </row>
    <row r="14" spans="1:21">
      <c r="A14" s="208"/>
      <c r="B14" s="208"/>
      <c r="C14" s="208"/>
      <c r="D14" s="208"/>
      <c r="E14" s="208"/>
      <c r="F14" s="208" t="s">
        <v>174</v>
      </c>
      <c r="H14" s="283"/>
      <c r="I14" s="285">
        <v>43</v>
      </c>
      <c r="J14" s="278">
        <v>35000</v>
      </c>
      <c r="K14" s="278">
        <v>7000</v>
      </c>
      <c r="L14" s="279">
        <v>12000</v>
      </c>
      <c r="M14" s="228">
        <f>SUM(J14:L14)</f>
        <v>54000</v>
      </c>
      <c r="N14" s="208"/>
      <c r="O14" s="208"/>
      <c r="P14" s="208"/>
    </row>
    <row r="15" spans="1:21">
      <c r="A15" s="208"/>
      <c r="B15" s="208"/>
      <c r="C15" s="208"/>
      <c r="D15" s="208"/>
      <c r="E15" s="208"/>
      <c r="F15" s="214" t="s">
        <v>23</v>
      </c>
      <c r="I15" s="286">
        <f>SUM(I13:I14)</f>
        <v>170</v>
      </c>
      <c r="J15" s="227">
        <f>SUM(J13:J14)</f>
        <v>105000</v>
      </c>
      <c r="K15" s="227">
        <f t="shared" ref="K15:M15" si="1">SUM(K13:K14)</f>
        <v>14000</v>
      </c>
      <c r="L15" s="227">
        <f t="shared" si="1"/>
        <v>27000</v>
      </c>
      <c r="M15" s="227">
        <f t="shared" si="1"/>
        <v>146000</v>
      </c>
      <c r="N15" s="208"/>
      <c r="O15" s="208"/>
      <c r="P15" s="208"/>
    </row>
    <row r="16" spans="1:21">
      <c r="A16" s="208"/>
      <c r="B16" s="208">
        <v>2</v>
      </c>
      <c r="C16" s="208" t="s">
        <v>52</v>
      </c>
      <c r="D16" s="208"/>
      <c r="E16" s="208"/>
      <c r="F16" s="208"/>
      <c r="G16" s="208"/>
      <c r="H16" s="208"/>
      <c r="I16" s="221"/>
      <c r="J16" s="221"/>
      <c r="K16" s="222"/>
      <c r="L16" s="208"/>
      <c r="M16" s="208"/>
      <c r="N16" s="208"/>
      <c r="O16" s="208"/>
      <c r="P16" s="208"/>
    </row>
    <row r="17" spans="1:29">
      <c r="A17" s="208"/>
      <c r="B17" s="208"/>
      <c r="C17" s="208"/>
      <c r="D17" s="208"/>
      <c r="E17" s="208"/>
      <c r="F17" s="205" t="s">
        <v>194</v>
      </c>
      <c r="G17" s="208"/>
      <c r="H17" s="208"/>
      <c r="I17" s="221"/>
      <c r="K17" s="222"/>
      <c r="L17" s="208"/>
      <c r="M17" s="208"/>
      <c r="N17" s="208"/>
      <c r="O17" s="208"/>
      <c r="P17" s="208"/>
    </row>
    <row r="18" spans="1:29">
      <c r="A18" s="208"/>
      <c r="B18" s="208"/>
      <c r="C18" s="208"/>
      <c r="D18" s="208"/>
      <c r="E18" s="208"/>
      <c r="G18" s="208"/>
      <c r="H18" s="208" t="s">
        <v>195</v>
      </c>
      <c r="I18" s="223">
        <v>1.1000000000000001</v>
      </c>
      <c r="J18" s="222"/>
      <c r="K18" s="208"/>
      <c r="M18" s="208"/>
      <c r="N18" s="208"/>
      <c r="O18" s="208"/>
      <c r="P18" s="208"/>
    </row>
    <row r="19" spans="1:29">
      <c r="A19" s="208"/>
      <c r="B19" s="208"/>
      <c r="C19" s="208"/>
      <c r="D19" s="208"/>
      <c r="E19" s="208"/>
      <c r="G19" s="208"/>
      <c r="H19" s="208" t="s">
        <v>196</v>
      </c>
      <c r="I19" s="224">
        <v>0.90909090000000004</v>
      </c>
      <c r="J19" s="222"/>
      <c r="K19" s="208"/>
      <c r="M19" s="208"/>
      <c r="N19" s="208"/>
      <c r="O19" s="208"/>
      <c r="P19" s="208"/>
    </row>
    <row r="20" spans="1:29">
      <c r="A20" s="208"/>
      <c r="B20" s="208"/>
      <c r="C20" s="208"/>
      <c r="D20" s="208"/>
      <c r="E20" s="208"/>
      <c r="F20" s="208" t="s">
        <v>171</v>
      </c>
      <c r="G20" s="208"/>
      <c r="H20" s="208"/>
      <c r="I20" s="208">
        <v>2.96</v>
      </c>
      <c r="J20" s="208" t="s">
        <v>197</v>
      </c>
      <c r="K20" s="208"/>
      <c r="M20" s="208"/>
      <c r="N20" s="208"/>
      <c r="O20" s="208"/>
      <c r="P20" s="208"/>
      <c r="AC20" s="275"/>
    </row>
    <row r="21" spans="1:29">
      <c r="A21" s="208"/>
      <c r="B21" s="208"/>
      <c r="C21" s="208"/>
      <c r="D21" s="208"/>
      <c r="E21" s="208"/>
      <c r="F21" s="208" t="s">
        <v>198</v>
      </c>
      <c r="G21" s="208"/>
      <c r="H21" s="208"/>
      <c r="I21" s="280">
        <v>4.8</v>
      </c>
      <c r="J21" s="208" t="s">
        <v>197</v>
      </c>
      <c r="K21" s="208"/>
      <c r="M21" s="208"/>
      <c r="N21" s="208"/>
      <c r="O21" s="208"/>
      <c r="P21" s="208"/>
    </row>
    <row r="22" spans="1:29">
      <c r="A22" s="208"/>
      <c r="B22" s="208"/>
      <c r="C22" s="208"/>
      <c r="D22" s="208"/>
      <c r="E22" s="208"/>
      <c r="F22" s="208" t="s">
        <v>199</v>
      </c>
      <c r="G22" s="208"/>
      <c r="H22" s="208"/>
      <c r="I22" s="281">
        <v>5</v>
      </c>
      <c r="J22" s="208" t="s">
        <v>197</v>
      </c>
      <c r="K22" s="208"/>
      <c r="M22" s="208"/>
      <c r="N22" s="208"/>
      <c r="O22" s="208"/>
      <c r="P22" s="208"/>
    </row>
    <row r="23" spans="1:29" ht="22.5" customHeight="1">
      <c r="A23" s="208" t="s">
        <v>64</v>
      </c>
      <c r="B23" s="208" t="s">
        <v>175</v>
      </c>
      <c r="C23" s="208"/>
      <c r="D23" s="208"/>
      <c r="E23" s="208"/>
      <c r="F23" s="208"/>
      <c r="G23" s="208"/>
      <c r="H23" s="208"/>
      <c r="I23" s="210"/>
      <c r="J23" s="208"/>
      <c r="K23" s="208"/>
      <c r="M23" s="208"/>
      <c r="N23" s="208"/>
      <c r="O23" s="208"/>
      <c r="P23" s="208"/>
    </row>
    <row r="24" spans="1:29">
      <c r="A24" s="208"/>
      <c r="B24" s="208"/>
      <c r="C24" s="208"/>
      <c r="D24" s="208"/>
      <c r="E24" s="225">
        <v>1</v>
      </c>
      <c r="F24" s="225" t="s">
        <v>291</v>
      </c>
      <c r="G24" s="225"/>
      <c r="H24" s="225"/>
      <c r="I24" s="225"/>
      <c r="J24" s="226"/>
      <c r="K24" s="225"/>
      <c r="L24" s="225"/>
      <c r="M24" s="225"/>
      <c r="N24" s="225"/>
      <c r="O24" s="225"/>
      <c r="P24" s="225"/>
    </row>
    <row r="25" spans="1:29">
      <c r="A25" s="208"/>
      <c r="B25" s="208"/>
      <c r="C25" s="208"/>
      <c r="D25" s="208"/>
      <c r="E25" s="225">
        <v>2</v>
      </c>
      <c r="F25" s="225" t="s">
        <v>288</v>
      </c>
      <c r="G25" s="225"/>
      <c r="H25" s="225"/>
      <c r="I25" s="225"/>
      <c r="J25" s="226"/>
      <c r="K25" s="225"/>
      <c r="L25" s="225"/>
      <c r="M25" s="225"/>
      <c r="N25" s="225"/>
      <c r="O25" s="225"/>
      <c r="P25" s="225"/>
    </row>
    <row r="26" spans="1:29" ht="30.5" customHeight="1">
      <c r="A26" s="208"/>
      <c r="B26" s="225"/>
      <c r="C26" s="225"/>
      <c r="D26" s="225"/>
      <c r="E26" s="225">
        <v>3</v>
      </c>
      <c r="F26" s="321" t="s">
        <v>200</v>
      </c>
      <c r="G26" s="321"/>
      <c r="H26" s="321"/>
      <c r="I26" s="321"/>
      <c r="J26" s="321"/>
      <c r="K26" s="321"/>
      <c r="L26" s="321"/>
      <c r="M26" s="321"/>
      <c r="N26" s="321"/>
      <c r="O26" s="321"/>
      <c r="P26" s="321"/>
    </row>
    <row r="27" spans="1:29">
      <c r="A27" s="208"/>
      <c r="B27" s="225"/>
      <c r="C27" s="225"/>
      <c r="D27" s="225"/>
      <c r="E27" s="225">
        <v>4</v>
      </c>
      <c r="F27" s="225" t="s">
        <v>201</v>
      </c>
      <c r="G27" s="225"/>
      <c r="H27" s="225"/>
      <c r="I27" s="225"/>
      <c r="J27" s="225"/>
      <c r="K27" s="225"/>
      <c r="L27" s="225"/>
      <c r="M27" s="225"/>
      <c r="N27" s="225"/>
      <c r="O27" s="225"/>
      <c r="P27" s="225"/>
    </row>
    <row r="28" spans="1:29">
      <c r="A28" s="208"/>
      <c r="B28" s="225"/>
      <c r="C28" s="225"/>
      <c r="D28" s="225"/>
      <c r="E28" s="225">
        <v>5</v>
      </c>
      <c r="F28" s="225" t="s">
        <v>202</v>
      </c>
      <c r="G28" s="225"/>
      <c r="H28" s="225"/>
      <c r="I28" s="225"/>
      <c r="J28" s="225"/>
      <c r="K28" s="225"/>
      <c r="L28" s="225"/>
      <c r="M28" s="225"/>
      <c r="N28" s="225"/>
      <c r="O28" s="225"/>
      <c r="P28" s="225"/>
    </row>
    <row r="29" spans="1:29" ht="22.5" customHeight="1">
      <c r="A29" s="208" t="s">
        <v>71</v>
      </c>
      <c r="B29" s="208" t="s">
        <v>203</v>
      </c>
      <c r="C29" s="208"/>
      <c r="D29" s="208"/>
      <c r="E29" s="208"/>
      <c r="F29" s="208"/>
      <c r="G29" s="208"/>
      <c r="H29" s="208"/>
      <c r="I29" s="208"/>
      <c r="J29" s="208"/>
      <c r="K29" s="208"/>
      <c r="L29" s="208"/>
      <c r="M29" s="208"/>
      <c r="N29" s="208"/>
      <c r="O29" s="208"/>
      <c r="P29" s="208"/>
    </row>
    <row r="30" spans="1:29" ht="44" customHeight="1">
      <c r="A30" s="208"/>
      <c r="B30" s="208"/>
      <c r="C30" s="225">
        <v>1</v>
      </c>
      <c r="D30" s="225" t="s">
        <v>204</v>
      </c>
      <c r="E30" s="225"/>
      <c r="F30" s="225"/>
      <c r="G30" s="225"/>
      <c r="H30" s="225"/>
      <c r="I30" s="321" t="s">
        <v>205</v>
      </c>
      <c r="J30" s="321"/>
      <c r="K30" s="321"/>
      <c r="L30" s="321"/>
      <c r="M30" s="321"/>
      <c r="N30" s="321"/>
      <c r="O30" s="321"/>
      <c r="P30" s="321"/>
    </row>
    <row r="31" spans="1:29" ht="42.5" customHeight="1">
      <c r="A31" s="208"/>
      <c r="B31" s="208"/>
      <c r="C31" s="225">
        <v>2</v>
      </c>
      <c r="D31" s="225" t="s">
        <v>206</v>
      </c>
      <c r="E31" s="225"/>
      <c r="F31" s="225"/>
      <c r="G31" s="225"/>
      <c r="H31" s="225" t="s">
        <v>5</v>
      </c>
      <c r="I31" s="321" t="s">
        <v>207</v>
      </c>
      <c r="J31" s="321"/>
      <c r="K31" s="321"/>
      <c r="L31" s="321"/>
      <c r="M31" s="321"/>
      <c r="N31" s="321"/>
      <c r="O31" s="321"/>
      <c r="P31" s="321"/>
    </row>
    <row r="32" spans="1:29">
      <c r="A32" s="208"/>
      <c r="B32" s="208"/>
      <c r="C32" s="208"/>
      <c r="D32" s="208"/>
      <c r="E32" s="208"/>
      <c r="F32" s="208"/>
      <c r="G32" s="208"/>
      <c r="H32" s="208" t="s">
        <v>6</v>
      </c>
      <c r="I32" s="208" t="s">
        <v>208</v>
      </c>
      <c r="J32" s="208"/>
      <c r="K32" s="208"/>
      <c r="L32" s="208"/>
      <c r="M32" s="208"/>
      <c r="N32" s="208"/>
      <c r="O32" s="208"/>
      <c r="P32" s="208"/>
    </row>
  </sheetData>
  <mergeCells count="5">
    <mergeCell ref="G3:J3"/>
    <mergeCell ref="L3:O3"/>
    <mergeCell ref="F26:P26"/>
    <mergeCell ref="I30:P30"/>
    <mergeCell ref="I31:P31"/>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26" sqref="H26"/>
    </sheetView>
  </sheetViews>
  <sheetFormatPr defaultRowHeight="15.5"/>
  <cols>
    <col min="4" max="4" width="40.58203125" customWidth="1"/>
    <col min="6" max="6" width="17.4140625" customWidth="1"/>
  </cols>
  <sheetData>
    <row r="1" spans="1:6" ht="16" thickBot="1">
      <c r="A1" s="323" t="s">
        <v>254</v>
      </c>
      <c r="B1" s="324"/>
      <c r="C1" s="324"/>
      <c r="D1" s="324"/>
      <c r="E1" s="247"/>
      <c r="F1" s="248"/>
    </row>
    <row r="2" spans="1:6">
      <c r="A2" s="290"/>
      <c r="B2" s="293"/>
      <c r="C2" s="293"/>
      <c r="D2" s="293" t="s">
        <v>266</v>
      </c>
      <c r="E2" s="294">
        <f>Overview!G8</f>
        <v>20</v>
      </c>
      <c r="F2" s="295" t="s">
        <v>255</v>
      </c>
    </row>
    <row r="3" spans="1:6">
      <c r="A3" s="291"/>
      <c r="B3" s="296"/>
      <c r="C3" s="296"/>
      <c r="D3" s="296" t="s">
        <v>267</v>
      </c>
      <c r="E3" s="297">
        <f>'Profit and Loss'!H132</f>
        <v>2.96</v>
      </c>
      <c r="F3" s="249" t="s">
        <v>256</v>
      </c>
    </row>
    <row r="4" spans="1:6">
      <c r="A4" s="291"/>
      <c r="B4" s="296"/>
      <c r="C4" s="296"/>
      <c r="D4" s="296" t="s">
        <v>117</v>
      </c>
      <c r="E4" s="298">
        <f>'Profit and Loss'!J111</f>
        <v>0.03</v>
      </c>
      <c r="F4" s="249"/>
    </row>
    <row r="5" spans="1:6" ht="29">
      <c r="A5" s="291"/>
      <c r="B5" s="296"/>
      <c r="C5" s="296"/>
      <c r="D5" s="299" t="s">
        <v>257</v>
      </c>
      <c r="E5" s="298">
        <f>'Profit and Loss'!J112</f>
        <v>0.05</v>
      </c>
      <c r="F5" s="249"/>
    </row>
    <row r="6" spans="1:6">
      <c r="A6" s="291"/>
      <c r="B6" s="296"/>
      <c r="C6" s="296"/>
      <c r="D6" s="296" t="s">
        <v>258</v>
      </c>
      <c r="E6" s="300">
        <v>0</v>
      </c>
      <c r="F6" s="249" t="s">
        <v>269</v>
      </c>
    </row>
    <row r="7" spans="1:6">
      <c r="A7" s="325" t="s">
        <v>259</v>
      </c>
      <c r="B7" s="326"/>
      <c r="C7" s="326"/>
      <c r="D7" s="326"/>
      <c r="E7" s="296"/>
      <c r="F7" s="250"/>
    </row>
    <row r="8" spans="1:6">
      <c r="A8" s="251"/>
      <c r="B8" s="322" t="s">
        <v>260</v>
      </c>
      <c r="C8" s="322"/>
      <c r="D8" s="322"/>
      <c r="E8" s="296"/>
      <c r="F8" s="250"/>
    </row>
    <row r="9" spans="1:6">
      <c r="A9" s="251"/>
      <c r="B9" s="296"/>
      <c r="C9" s="296"/>
      <c r="D9" s="296" t="s">
        <v>261</v>
      </c>
      <c r="E9" s="301">
        <f>'Profit and Loss'!J108</f>
        <v>3700</v>
      </c>
      <c r="F9" s="250"/>
    </row>
    <row r="10" spans="1:6">
      <c r="A10" s="251"/>
      <c r="B10" s="322" t="s">
        <v>270</v>
      </c>
      <c r="C10" s="322"/>
      <c r="D10" s="322"/>
      <c r="E10" s="302">
        <f>'Profit and Loss'!J103</f>
        <v>148920</v>
      </c>
      <c r="F10" s="250"/>
    </row>
    <row r="11" spans="1:6">
      <c r="A11" s="251"/>
      <c r="B11" s="322" t="s">
        <v>262</v>
      </c>
      <c r="C11" s="322"/>
      <c r="D11" s="322"/>
      <c r="E11" s="296"/>
      <c r="F11" s="250"/>
    </row>
    <row r="12" spans="1:6">
      <c r="A12" s="251"/>
      <c r="B12" s="296"/>
      <c r="C12" s="296"/>
      <c r="D12" s="303" t="str">
        <f>'Profit and Loss'!D13</f>
        <v>Fuel costs</v>
      </c>
      <c r="E12" s="301">
        <f>'Profit and Loss'!J13</f>
        <v>7055.9999198400001</v>
      </c>
      <c r="F12" s="250" t="s">
        <v>220</v>
      </c>
    </row>
    <row r="13" spans="1:6">
      <c r="A13" s="251"/>
      <c r="B13" s="296"/>
      <c r="C13" s="296"/>
      <c r="D13" s="303" t="str">
        <f>'Profit and Loss'!D14</f>
        <v>System operating costs</v>
      </c>
      <c r="E13" s="301">
        <f>'Profit and Loss'!J14</f>
        <v>911.70000000000073</v>
      </c>
      <c r="F13" s="250" t="s">
        <v>220</v>
      </c>
    </row>
    <row r="14" spans="1:6">
      <c r="A14" s="251"/>
      <c r="B14" s="296"/>
      <c r="C14" s="296"/>
      <c r="D14" s="303" t="str">
        <f>'Profit and Loss'!D15</f>
        <v>Pump replacement reserve</v>
      </c>
      <c r="E14" s="301">
        <f>'Profit and Loss'!J15</f>
        <v>200</v>
      </c>
      <c r="F14" s="250" t="s">
        <v>220</v>
      </c>
    </row>
    <row r="15" spans="1:6">
      <c r="A15" s="251"/>
      <c r="B15" s="296"/>
      <c r="C15" s="296"/>
      <c r="D15" s="303" t="str">
        <f>'Profit and Loss'!D16</f>
        <v>Contribution to CBS operating costs</v>
      </c>
      <c r="E15" s="301">
        <f>'Profit and Loss'!J16</f>
        <v>4000</v>
      </c>
      <c r="F15" s="250" t="s">
        <v>220</v>
      </c>
    </row>
    <row r="16" spans="1:6">
      <c r="A16" s="251"/>
      <c r="B16" s="296"/>
      <c r="C16" s="296"/>
      <c r="D16" s="303">
        <f>'Profit and Loss'!D17</f>
        <v>0</v>
      </c>
      <c r="E16" s="304"/>
      <c r="F16" s="250"/>
    </row>
    <row r="17" spans="1:6">
      <c r="A17" s="251"/>
      <c r="B17" s="322" t="s">
        <v>263</v>
      </c>
      <c r="C17" s="322"/>
      <c r="D17" s="322"/>
      <c r="E17" s="296"/>
      <c r="F17" s="250"/>
    </row>
    <row r="18" spans="1:6">
      <c r="A18" s="251"/>
      <c r="B18" s="296"/>
      <c r="C18" s="296"/>
      <c r="D18" s="296" t="s">
        <v>272</v>
      </c>
      <c r="E18" s="305">
        <f>'Profit and Loss'!H128</f>
        <v>146999.99833</v>
      </c>
      <c r="F18" s="249" t="s">
        <v>271</v>
      </c>
    </row>
    <row r="19" spans="1:6">
      <c r="A19" s="251"/>
      <c r="B19" s="296"/>
      <c r="C19" s="296"/>
      <c r="D19" s="296" t="s">
        <v>25</v>
      </c>
      <c r="E19" s="301">
        <f>'Profit and Loss'!J10</f>
        <v>5879.9999331999998</v>
      </c>
      <c r="F19" s="250" t="s">
        <v>220</v>
      </c>
    </row>
    <row r="20" spans="1:6">
      <c r="A20" s="251"/>
      <c r="B20" s="296"/>
      <c r="C20" s="296"/>
      <c r="D20" s="296" t="s">
        <v>273</v>
      </c>
      <c r="E20" s="301">
        <f>'Profit and Loss'!J9</f>
        <v>4351.1999505680005</v>
      </c>
      <c r="F20" s="292" t="s">
        <v>220</v>
      </c>
    </row>
    <row r="21" spans="1:6">
      <c r="A21" s="251"/>
      <c r="B21" s="322" t="s">
        <v>264</v>
      </c>
      <c r="C21" s="322"/>
      <c r="D21" s="322"/>
      <c r="E21" s="296"/>
      <c r="F21" s="250"/>
    </row>
    <row r="22" spans="1:6">
      <c r="A22" s="251"/>
      <c r="B22" s="296"/>
      <c r="C22" s="322" t="s">
        <v>265</v>
      </c>
      <c r="D22" s="322"/>
      <c r="E22" s="300">
        <f>'Profit and Loss'!H137</f>
        <v>0.08</v>
      </c>
      <c r="F22" s="250"/>
    </row>
    <row r="23" spans="1:6" ht="16" thickBot="1">
      <c r="A23" s="306"/>
      <c r="B23" s="307"/>
      <c r="C23" s="307" t="s">
        <v>81</v>
      </c>
      <c r="D23" s="308"/>
      <c r="E23" s="309">
        <v>0</v>
      </c>
      <c r="F23" s="310" t="s">
        <v>274</v>
      </c>
    </row>
  </sheetData>
  <mergeCells count="8">
    <mergeCell ref="B11:D11"/>
    <mergeCell ref="B17:D17"/>
    <mergeCell ref="B21:D21"/>
    <mergeCell ref="C22:D22"/>
    <mergeCell ref="A1:D1"/>
    <mergeCell ref="A7:D7"/>
    <mergeCell ref="B8:D8"/>
    <mergeCell ref="B10:D10"/>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 me</vt:lpstr>
      <vt:lpstr>Overview</vt:lpstr>
      <vt:lpstr>P&amp;L Summary</vt:lpstr>
      <vt:lpstr>Profit and Loss</vt:lpstr>
      <vt:lpstr>Lists</vt:lpstr>
      <vt:lpstr>Inputs from tech analysis</vt:lpstr>
      <vt:lpstr>Key data for RCEF report table</vt:lpstr>
      <vt:lpstr>'Inputs from tech analysis'!_ftnref3</vt:lpstr>
      <vt:lpstr>'Inputs from tech analysis'!_ftnref4</vt:lpstr>
      <vt:lpstr>Overview!Print_Area</vt:lpstr>
      <vt:lpstr>'P&amp;L Summary'!Print_Area</vt:lpstr>
      <vt:lpstr>'Profit and Loss'!Print_Titles</vt:lpstr>
      <vt:lpstr>yesno</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Chris White</cp:lastModifiedBy>
  <cp:lastPrinted>2018-01-18T09:28:22Z</cp:lastPrinted>
  <dcterms:created xsi:type="dcterms:W3CDTF">2018-01-15T14:34:59Z</dcterms:created>
  <dcterms:modified xsi:type="dcterms:W3CDTF">2018-04-11T10:53:12Z</dcterms:modified>
</cp:coreProperties>
</file>